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3"/>
  </bookViews>
  <sheets>
    <sheet name="Лист1" sheetId="1" r:id="rId1"/>
    <sheet name="Лист2" sheetId="2" r:id="rId2"/>
    <sheet name="Приказ" sheetId="3" r:id="rId3"/>
    <sheet name="Прейскурант" sheetId="4" r:id="rId4"/>
  </sheets>
  <definedNames>
    <definedName name="_xlnm.Print_Area" localSheetId="0">'Лист1'!$A$1:$E$67</definedName>
  </definedNames>
  <calcPr fullCalcOnLoad="1"/>
</workbook>
</file>

<file path=xl/sharedStrings.xml><?xml version="1.0" encoding="utf-8"?>
<sst xmlns="http://schemas.openxmlformats.org/spreadsheetml/2006/main" count="286" uniqueCount="161">
  <si>
    <t>РАСШИФРОВКА</t>
  </si>
  <si>
    <t>Наименование затрат</t>
  </si>
  <si>
    <t>№</t>
  </si>
  <si>
    <t>Сумма, руб.</t>
  </si>
  <si>
    <t>1.</t>
  </si>
  <si>
    <t>Строительство беседок:</t>
  </si>
  <si>
    <t>плановых затрат на создание зоны отдыха</t>
  </si>
  <si>
    <t>зарплата</t>
  </si>
  <si>
    <t>налоги на зарплату</t>
  </si>
  <si>
    <t>стоимость материалов</t>
  </si>
  <si>
    <t>2.</t>
  </si>
  <si>
    <t>Строительство туалетов:</t>
  </si>
  <si>
    <t>3.</t>
  </si>
  <si>
    <t>Устройство кострищ:</t>
  </si>
  <si>
    <t>4.</t>
  </si>
  <si>
    <t>5.</t>
  </si>
  <si>
    <t>Устройство кабинок для переодевания:</t>
  </si>
  <si>
    <t>Итого</t>
  </si>
  <si>
    <t>Стоимость контейнеров  8 штук</t>
  </si>
  <si>
    <t>6.</t>
  </si>
  <si>
    <t>Устройство ограждений  40х40х2</t>
  </si>
  <si>
    <t>7.</t>
  </si>
  <si>
    <t>Ремонт дороги</t>
  </si>
  <si>
    <t>стоимость  5 тракторосмен</t>
  </si>
  <si>
    <t>8.</t>
  </si>
  <si>
    <t>Ремонт мест отдыха</t>
  </si>
  <si>
    <t>9.</t>
  </si>
  <si>
    <t>Установка наглядной агитации</t>
  </si>
  <si>
    <t>Стоимость наглядной агитации</t>
  </si>
  <si>
    <t>10.</t>
  </si>
  <si>
    <t>Вывоз мусора в месяц  10 рейсов 4 т/смены</t>
  </si>
  <si>
    <t>11.</t>
  </si>
  <si>
    <t>Окашивание зон отдыха  3 га кусторезом</t>
  </si>
  <si>
    <t>стоимость 6 м/смен</t>
  </si>
  <si>
    <t>12.</t>
  </si>
  <si>
    <t>Создание минполос 5 км</t>
  </si>
  <si>
    <t>стоимость 0,5  тракторосмен</t>
  </si>
  <si>
    <t>13.</t>
  </si>
  <si>
    <t>Очистка туалетов 2 раза за год</t>
  </si>
  <si>
    <t>14.</t>
  </si>
  <si>
    <t>Стоимость диз.материалов</t>
  </si>
  <si>
    <t>стоимость 4 тракторосмен</t>
  </si>
  <si>
    <t>10 лет</t>
  </si>
  <si>
    <t>5 лет</t>
  </si>
  <si>
    <t>Сумма</t>
  </si>
  <si>
    <t>на сезон</t>
  </si>
  <si>
    <t>службы</t>
  </si>
  <si>
    <t>Срок</t>
  </si>
  <si>
    <t>УТВЕРЖДАЮ:</t>
  </si>
  <si>
    <t>Директор ГЛХУ " Крупский лесхоз"</t>
  </si>
  <si>
    <t>_______________Усеня Н.В.</t>
  </si>
  <si>
    <t xml:space="preserve">ПЛАНОВАЯ   КАЛЬКУЛЯЦИЯ </t>
  </si>
  <si>
    <t>по расчету отпускных цен</t>
  </si>
  <si>
    <t>Наименование статей затрат</t>
  </si>
  <si>
    <t>1.Сырье и материалы</t>
  </si>
  <si>
    <t xml:space="preserve">    возвратные отходы вычитаются</t>
  </si>
  <si>
    <t>2.Итого сырья и материалов</t>
  </si>
  <si>
    <t>3.Основная и дополнительная зарплата</t>
  </si>
  <si>
    <t>4.Отчисления на соцстрах</t>
  </si>
  <si>
    <t>5.Страхов.тариф по обяз.страхованию</t>
  </si>
  <si>
    <t>8.Производственная себестоимость</t>
  </si>
  <si>
    <t>9.Отчисления в инновационный фонд</t>
  </si>
  <si>
    <t>11.Итого себестоимость  продукции</t>
  </si>
  <si>
    <t>12.Прибыль</t>
  </si>
  <si>
    <t>13.Рентабельность</t>
  </si>
  <si>
    <t>Начальник ПЭО:</t>
  </si>
  <si>
    <t>Бульбочкина М.Н.</t>
  </si>
  <si>
    <t>на  услуги зоны отдыха "Селява"</t>
  </si>
  <si>
    <t>Сумма затрат</t>
  </si>
  <si>
    <t>всего руб.</t>
  </si>
  <si>
    <t>с чел  сутки более  10 час</t>
  </si>
  <si>
    <t>сутки</t>
  </si>
  <si>
    <t>с чел  за час до 10 час</t>
  </si>
  <si>
    <t>Экономист по ценам:</t>
  </si>
  <si>
    <t>Пустарнакова З.В.</t>
  </si>
  <si>
    <t>в том числе</t>
  </si>
  <si>
    <t>посещение</t>
  </si>
  <si>
    <t>без использ</t>
  </si>
  <si>
    <t>малых арх.</t>
  </si>
  <si>
    <t>форм</t>
  </si>
  <si>
    <t>6.Расходы  на содержание и эксплуатацию оборуд.</t>
  </si>
  <si>
    <t>с использ</t>
  </si>
  <si>
    <t>форм до 10</t>
  </si>
  <si>
    <t>10 час с 1 чел.</t>
  </si>
  <si>
    <t xml:space="preserve">форм более </t>
  </si>
  <si>
    <t>за сутки</t>
  </si>
  <si>
    <t>7,Общехозяйственные расходы 24,6%</t>
  </si>
  <si>
    <t>с использ.</t>
  </si>
  <si>
    <t>15.Отпускная цена  всего</t>
  </si>
  <si>
    <t xml:space="preserve">     Плановое количество человек</t>
  </si>
  <si>
    <t xml:space="preserve"> Стоимость</t>
  </si>
  <si>
    <t xml:space="preserve">руб.с </t>
  </si>
  <si>
    <t>человека</t>
  </si>
  <si>
    <t>час с 1 чел.за</t>
  </si>
  <si>
    <t>час</t>
  </si>
  <si>
    <t xml:space="preserve">Зарплата </t>
  </si>
  <si>
    <t>Стоимость материалов</t>
  </si>
  <si>
    <t xml:space="preserve">Стоимость машиносмен </t>
  </si>
  <si>
    <t>Налоги на зарплату</t>
  </si>
  <si>
    <t>МАФ за час</t>
  </si>
  <si>
    <t>МАФ за сутки</t>
  </si>
  <si>
    <t>к приказу ГЛХУ "Крупский лесхоз"</t>
  </si>
  <si>
    <t>11.06.2010 № 243</t>
  </si>
  <si>
    <t xml:space="preserve"> 11 июня  2010 года</t>
  </si>
  <si>
    <t>без НДС,руб.</t>
  </si>
  <si>
    <t>ПРИКАЗ:</t>
  </si>
  <si>
    <t>О прейскуранте цен</t>
  </si>
  <si>
    <t xml:space="preserve">     На  основании распоряжения председателя Минского </t>
  </si>
  <si>
    <t>областного исполнительного комитета  от 31 марта 2010  г.№154 р</t>
  </si>
  <si>
    <t>"Об организации отдыха граждан",решения Крупского районного</t>
  </si>
  <si>
    <t>исполнительного комитета от 28 января 2010 г. № 53 "Об утверждении</t>
  </si>
  <si>
    <t>плана мероприятий по развитию пляжей  на водоемах в местах массового</t>
  </si>
  <si>
    <t>отдыха  населения района  на 2010-2015 годы"</t>
  </si>
  <si>
    <t>ПРИКАЗЫВАЮ:</t>
  </si>
  <si>
    <t xml:space="preserve">1.Ввести в действие с 11 июня 2010 года прейскурант на стоимость </t>
  </si>
  <si>
    <t>комплекса  услуг  посещения  зон отдыха "Селява",согласно приложению № 1</t>
  </si>
  <si>
    <t>(тариф)</t>
  </si>
  <si>
    <t>изм.</t>
  </si>
  <si>
    <t>Ед.</t>
  </si>
  <si>
    <t>цена</t>
  </si>
  <si>
    <t>Отпускная</t>
  </si>
  <si>
    <t>НДС,</t>
  </si>
  <si>
    <t>Цена  с</t>
  </si>
  <si>
    <t>руб</t>
  </si>
  <si>
    <t>мз</t>
  </si>
  <si>
    <t xml:space="preserve"> -свыше 5 до 10 км;</t>
  </si>
  <si>
    <t xml:space="preserve"> -свыше 10 до 16 км;</t>
  </si>
  <si>
    <t xml:space="preserve"> -до 5 км включительно;</t>
  </si>
  <si>
    <t>Услуги по погрузке древесины</t>
  </si>
  <si>
    <t>УРАЛ -4320 с погрузчиком</t>
  </si>
  <si>
    <t>руб.</t>
  </si>
  <si>
    <t>Услуги бензопилы</t>
  </si>
  <si>
    <t xml:space="preserve"> -свыше 16 до 30 км;</t>
  </si>
  <si>
    <t>Услуги по разгрузке древесины</t>
  </si>
  <si>
    <t>Ручная погрузка дров</t>
  </si>
  <si>
    <t>Ручная разгрузка дров</t>
  </si>
  <si>
    <t>МАЗ 5551А2 325АК 5461-5 без прицепа</t>
  </si>
  <si>
    <t>МАЗ 5551А2 325АК 5461-5 с прицепом</t>
  </si>
  <si>
    <t xml:space="preserve"> </t>
  </si>
  <si>
    <t>Наименование услуг</t>
  </si>
  <si>
    <t>Трактор МТЗ-82.1</t>
  </si>
  <si>
    <t>Трактор МТЗ-1221 с тележкой ПЛ-9</t>
  </si>
  <si>
    <t>Услуги   кустореза</t>
  </si>
  <si>
    <t xml:space="preserve">Услуги трактора МТЗ  82.2 ,МТЗ 1221 </t>
  </si>
  <si>
    <t xml:space="preserve"> на расстояние:</t>
  </si>
  <si>
    <t xml:space="preserve"> с тележкой ПЛ-9,по вывозке древесины</t>
  </si>
  <si>
    <t>ПЛ-9 ,гидроманипулятор).</t>
  </si>
  <si>
    <t>УАЗ бортовой 3303</t>
  </si>
  <si>
    <t>ГАЗ-3302-288 (газель)</t>
  </si>
  <si>
    <t>МАЗ 6422А-320 с полуприцепом</t>
  </si>
  <si>
    <t>МАЗ  6303 с прицепом и погрузчиком</t>
  </si>
  <si>
    <t>Услуги по грузовым перевозкам:</t>
  </si>
  <si>
    <t xml:space="preserve"> Услуги Амкодор 352 Л</t>
  </si>
  <si>
    <t>Услуги гужевого транспорта</t>
  </si>
  <si>
    <t xml:space="preserve">Приложение  </t>
  </si>
  <si>
    <t>(трактор МТЗ.82.2,МТЗ 1221 с тележкой ПЛ-9,</t>
  </si>
  <si>
    <t>Отпускные цены на услуги,оказываемые лесхозом</t>
  </si>
  <si>
    <t xml:space="preserve">(трактор МТЗ.82.2,МТЗ 1221 с тележкой </t>
  </si>
  <si>
    <t>ГАЗ-А-21 R 32</t>
  </si>
  <si>
    <t xml:space="preserve">   Прейскурант № 2</t>
  </si>
  <si>
    <t>29.01.2018 № 42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</si>
</sst>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zoomScaleSheetLayoutView="100" zoomScalePageLayoutView="0" workbookViewId="0" topLeftCell="D1">
      <selection activeCell="I54" sqref="I54"/>
    </sheetView>
  </sheetViews>
  <sheetFormatPr defaultColWidth="9.00390625" defaultRowHeight="12.75"/>
  <cols>
    <col min="1" max="1" width="5.125" style="0" customWidth="1"/>
    <col min="2" max="2" width="45.25390625" style="0" customWidth="1"/>
    <col min="3" max="3" width="18.375" style="0" customWidth="1"/>
    <col min="5" max="5" width="9.625" style="0" customWidth="1"/>
    <col min="6" max="6" width="6.25390625" style="0" customWidth="1"/>
    <col min="7" max="7" width="39.00390625" style="0" customWidth="1"/>
    <col min="9" max="9" width="10.125" style="0" customWidth="1"/>
    <col min="10" max="10" width="11.875" style="0" customWidth="1"/>
    <col min="11" max="11" width="12.75390625" style="0" customWidth="1"/>
  </cols>
  <sheetData>
    <row r="2" spans="2:3" ht="14.25">
      <c r="B2" s="65" t="s">
        <v>0</v>
      </c>
      <c r="C2" s="65"/>
    </row>
    <row r="3" spans="2:11" ht="14.25">
      <c r="B3" s="65" t="s">
        <v>6</v>
      </c>
      <c r="C3" s="65"/>
      <c r="J3" s="28">
        <v>0.7</v>
      </c>
      <c r="K3" s="28">
        <v>0.3</v>
      </c>
    </row>
    <row r="4" spans="10:11" ht="12.75">
      <c r="J4" t="s">
        <v>87</v>
      </c>
      <c r="K4" t="s">
        <v>87</v>
      </c>
    </row>
    <row r="5" spans="4:11" ht="12.75">
      <c r="D5" t="s">
        <v>47</v>
      </c>
      <c r="E5" t="s">
        <v>44</v>
      </c>
      <c r="H5" t="s">
        <v>44</v>
      </c>
      <c r="I5" t="s">
        <v>76</v>
      </c>
      <c r="J5" t="s">
        <v>99</v>
      </c>
      <c r="K5" t="s">
        <v>100</v>
      </c>
    </row>
    <row r="6" spans="1:11" ht="12.75">
      <c r="A6" s="2" t="s">
        <v>2</v>
      </c>
      <c r="B6" s="1" t="s">
        <v>1</v>
      </c>
      <c r="C6" s="2" t="s">
        <v>3</v>
      </c>
      <c r="D6" s="1" t="s">
        <v>46</v>
      </c>
      <c r="E6" s="1" t="s">
        <v>45</v>
      </c>
      <c r="F6" s="2" t="s">
        <v>2</v>
      </c>
      <c r="G6" s="1" t="s">
        <v>1</v>
      </c>
      <c r="H6" s="1" t="s">
        <v>45</v>
      </c>
      <c r="I6" s="1"/>
      <c r="J6" s="1"/>
      <c r="K6" s="1"/>
    </row>
    <row r="7" spans="1:11" ht="12.75">
      <c r="A7" s="2" t="s">
        <v>4</v>
      </c>
      <c r="B7" s="1" t="s">
        <v>5</v>
      </c>
      <c r="C7" s="3">
        <f>C8+C9+C10</f>
        <v>6757697.36</v>
      </c>
      <c r="D7" s="1" t="s">
        <v>43</v>
      </c>
      <c r="E7" s="7">
        <f aca="true" t="shared" si="0" ref="E7:E18">C7/5</f>
        <v>1351539.472</v>
      </c>
      <c r="F7" s="2" t="s">
        <v>4</v>
      </c>
      <c r="G7" s="1" t="s">
        <v>5</v>
      </c>
      <c r="H7" s="7">
        <f>E7</f>
        <v>1351539.472</v>
      </c>
      <c r="I7" s="1"/>
      <c r="J7" s="8">
        <f>H7*70%</f>
        <v>946077.6304</v>
      </c>
      <c r="K7" s="8">
        <f>H7-J7</f>
        <v>405461.84160000004</v>
      </c>
    </row>
    <row r="8" spans="1:11" ht="12.75">
      <c r="A8" s="2"/>
      <c r="B8" s="1" t="s">
        <v>7</v>
      </c>
      <c r="C8" s="4">
        <f>12*256680</f>
        <v>3080160</v>
      </c>
      <c r="D8" s="1"/>
      <c r="E8" s="7">
        <f t="shared" si="0"/>
        <v>616032</v>
      </c>
      <c r="F8" s="2"/>
      <c r="G8" s="1" t="s">
        <v>7</v>
      </c>
      <c r="H8" s="7">
        <f>E8</f>
        <v>616032</v>
      </c>
      <c r="I8" s="1"/>
      <c r="J8" s="21">
        <f>H8*70%</f>
        <v>431222.39999999997</v>
      </c>
      <c r="K8" s="21">
        <f>H8-J8</f>
        <v>184809.60000000003</v>
      </c>
    </row>
    <row r="9" spans="1:11" ht="12.75">
      <c r="A9" s="2"/>
      <c r="B9" s="1" t="s">
        <v>8</v>
      </c>
      <c r="C9" s="4">
        <f>C8*34.6%</f>
        <v>1065735.36</v>
      </c>
      <c r="D9" s="1"/>
      <c r="E9" s="8">
        <f t="shared" si="0"/>
        <v>213147.07200000001</v>
      </c>
      <c r="F9" s="2"/>
      <c r="G9" s="1" t="s">
        <v>8</v>
      </c>
      <c r="H9" s="8">
        <f>E9</f>
        <v>213147.07200000001</v>
      </c>
      <c r="I9" s="1"/>
      <c r="J9" s="21">
        <f>H9*70%</f>
        <v>149202.9504</v>
      </c>
      <c r="K9" s="21">
        <f>H9-J9</f>
        <v>63944.12160000001</v>
      </c>
    </row>
    <row r="10" spans="1:11" ht="12.75">
      <c r="A10" s="2"/>
      <c r="B10" s="1" t="s">
        <v>9</v>
      </c>
      <c r="C10" s="4">
        <f>(52000+4535)*12+1933382</f>
        <v>2611802</v>
      </c>
      <c r="D10" s="1"/>
      <c r="E10" s="8">
        <f t="shared" si="0"/>
        <v>522360.4</v>
      </c>
      <c r="F10" s="2"/>
      <c r="G10" s="1" t="s">
        <v>9</v>
      </c>
      <c r="H10" s="8">
        <f aca="true" t="shared" si="1" ref="H10:H23">E10</f>
        <v>522360.4</v>
      </c>
      <c r="I10" s="1"/>
      <c r="J10" s="21">
        <f>H10*70%</f>
        <v>365652.27999999997</v>
      </c>
      <c r="K10" s="21">
        <f>H10-J10</f>
        <v>156708.12000000005</v>
      </c>
    </row>
    <row r="11" spans="1:11" ht="12.75">
      <c r="A11" s="2" t="s">
        <v>10</v>
      </c>
      <c r="B11" s="1" t="s">
        <v>11</v>
      </c>
      <c r="C11" s="3">
        <f>C12+C13+C14</f>
        <v>1995580.53</v>
      </c>
      <c r="D11" s="1" t="s">
        <v>43</v>
      </c>
      <c r="E11" s="8">
        <f t="shared" si="0"/>
        <v>399116.106</v>
      </c>
      <c r="F11" s="2" t="s">
        <v>10</v>
      </c>
      <c r="G11" s="1" t="s">
        <v>11</v>
      </c>
      <c r="H11" s="8">
        <f t="shared" si="1"/>
        <v>399116.106</v>
      </c>
      <c r="I11" s="8">
        <f>H11/3</f>
        <v>133038.70200000002</v>
      </c>
      <c r="J11" s="8">
        <f>(H11-I11)*70%</f>
        <v>186254.18279999998</v>
      </c>
      <c r="K11" s="8">
        <f>H11-I11-J11</f>
        <v>79823.2212</v>
      </c>
    </row>
    <row r="12" spans="1:11" ht="12.75">
      <c r="A12" s="2"/>
      <c r="B12" s="1" t="s">
        <v>7</v>
      </c>
      <c r="C12" s="4">
        <v>1286805</v>
      </c>
      <c r="D12" s="1"/>
      <c r="E12" s="7">
        <f t="shared" si="0"/>
        <v>257361</v>
      </c>
      <c r="F12" s="2"/>
      <c r="G12" s="1" t="s">
        <v>7</v>
      </c>
      <c r="H12" s="8">
        <f t="shared" si="1"/>
        <v>257361</v>
      </c>
      <c r="I12" s="21">
        <f>H12/3</f>
        <v>85787</v>
      </c>
      <c r="J12" s="21">
        <f>(H12-I12)*70%</f>
        <v>120101.79999999999</v>
      </c>
      <c r="K12" s="8">
        <f>H12-I12-J12</f>
        <v>51472.20000000001</v>
      </c>
    </row>
    <row r="13" spans="1:11" ht="12.75">
      <c r="A13" s="2"/>
      <c r="B13" s="1" t="s">
        <v>8</v>
      </c>
      <c r="C13" s="4">
        <f>C12*34.6%</f>
        <v>445234.53</v>
      </c>
      <c r="D13" s="1"/>
      <c r="E13" s="8">
        <f t="shared" si="0"/>
        <v>89046.906</v>
      </c>
      <c r="F13" s="2"/>
      <c r="G13" s="1" t="s">
        <v>8</v>
      </c>
      <c r="H13" s="8">
        <f t="shared" si="1"/>
        <v>89046.906</v>
      </c>
      <c r="I13" s="21">
        <f>H13/3</f>
        <v>29682.302</v>
      </c>
      <c r="J13" s="21">
        <f>(H13-I13)*70%</f>
        <v>41555.2228</v>
      </c>
      <c r="K13" s="8">
        <f>H13-I13-J13</f>
        <v>17809.381200000003</v>
      </c>
    </row>
    <row r="14" spans="1:11" ht="12.75">
      <c r="A14" s="2"/>
      <c r="B14" s="1" t="s">
        <v>9</v>
      </c>
      <c r="C14" s="4">
        <v>263541</v>
      </c>
      <c r="D14" s="1"/>
      <c r="E14" s="8">
        <f t="shared" si="0"/>
        <v>52708.2</v>
      </c>
      <c r="F14" s="2"/>
      <c r="G14" s="1" t="s">
        <v>9</v>
      </c>
      <c r="H14" s="8">
        <f t="shared" si="1"/>
        <v>52708.2</v>
      </c>
      <c r="I14" s="21">
        <f>H14/3</f>
        <v>17569.399999999998</v>
      </c>
      <c r="J14" s="21">
        <f>(H14-I14)*70%</f>
        <v>24597.16</v>
      </c>
      <c r="K14" s="8">
        <f>H14-I14-J14</f>
        <v>10541.640000000003</v>
      </c>
    </row>
    <row r="15" spans="1:11" ht="12.75">
      <c r="A15" s="2" t="s">
        <v>12</v>
      </c>
      <c r="B15" s="1" t="s">
        <v>13</v>
      </c>
      <c r="C15" s="3">
        <f>C16+C17+C18</f>
        <v>199482.936</v>
      </c>
      <c r="D15" s="1" t="s">
        <v>43</v>
      </c>
      <c r="E15" s="8">
        <f t="shared" si="0"/>
        <v>39896.587199999994</v>
      </c>
      <c r="F15" s="2" t="s">
        <v>12</v>
      </c>
      <c r="G15" s="1" t="s">
        <v>13</v>
      </c>
      <c r="H15" s="8">
        <f t="shared" si="1"/>
        <v>39896.587199999994</v>
      </c>
      <c r="I15" s="1"/>
      <c r="J15" s="8">
        <f>H15*70%</f>
        <v>27927.611039999996</v>
      </c>
      <c r="K15" s="8">
        <f>H15-J15</f>
        <v>11968.976159999998</v>
      </c>
    </row>
    <row r="16" spans="1:11" ht="12.75">
      <c r="A16" s="2"/>
      <c r="B16" s="1" t="s">
        <v>7</v>
      </c>
      <c r="C16" s="4">
        <f>(6995+3498)*12</f>
        <v>125916</v>
      </c>
      <c r="D16" s="1"/>
      <c r="E16" s="8">
        <f t="shared" si="0"/>
        <v>25183.2</v>
      </c>
      <c r="F16" s="2"/>
      <c r="G16" s="1" t="s">
        <v>7</v>
      </c>
      <c r="H16" s="8">
        <f t="shared" si="1"/>
        <v>25183.2</v>
      </c>
      <c r="I16" s="1"/>
      <c r="J16" s="21">
        <f>H16*70%</f>
        <v>17628.239999999998</v>
      </c>
      <c r="K16" s="21">
        <f>H16-J16</f>
        <v>7554.960000000003</v>
      </c>
    </row>
    <row r="17" spans="1:11" ht="12.75">
      <c r="A17" s="2"/>
      <c r="B17" s="1" t="s">
        <v>8</v>
      </c>
      <c r="C17" s="4">
        <f>C16*34.6%</f>
        <v>43566.936</v>
      </c>
      <c r="D17" s="1"/>
      <c r="E17" s="8">
        <f t="shared" si="0"/>
        <v>8713.387200000001</v>
      </c>
      <c r="F17" s="2"/>
      <c r="G17" s="1" t="s">
        <v>8</v>
      </c>
      <c r="H17" s="8">
        <f t="shared" si="1"/>
        <v>8713.387200000001</v>
      </c>
      <c r="I17" s="1"/>
      <c r="J17" s="21">
        <f>H17*70%</f>
        <v>6099.37104</v>
      </c>
      <c r="K17" s="21">
        <f>H17-J17</f>
        <v>2614.016160000001</v>
      </c>
    </row>
    <row r="18" spans="1:11" ht="12.75">
      <c r="A18" s="2"/>
      <c r="B18" s="1" t="s">
        <v>9</v>
      </c>
      <c r="C18" s="4">
        <v>30000</v>
      </c>
      <c r="D18" s="1"/>
      <c r="E18" s="7">
        <f t="shared" si="0"/>
        <v>6000</v>
      </c>
      <c r="F18" s="2"/>
      <c r="G18" s="1" t="s">
        <v>9</v>
      </c>
      <c r="H18" s="8">
        <f t="shared" si="1"/>
        <v>6000</v>
      </c>
      <c r="I18" s="1"/>
      <c r="J18" s="21">
        <f>H18*70%</f>
        <v>4200</v>
      </c>
      <c r="K18" s="21">
        <f>H18-J18</f>
        <v>1800</v>
      </c>
    </row>
    <row r="19" spans="1:11" ht="12.75">
      <c r="A19" s="2" t="s">
        <v>14</v>
      </c>
      <c r="B19" s="1" t="s">
        <v>18</v>
      </c>
      <c r="C19" s="3">
        <v>2935370</v>
      </c>
      <c r="D19" s="1" t="s">
        <v>42</v>
      </c>
      <c r="E19" s="7">
        <f>C19/10</f>
        <v>293537</v>
      </c>
      <c r="F19" s="2" t="s">
        <v>14</v>
      </c>
      <c r="G19" s="1" t="s">
        <v>18</v>
      </c>
      <c r="H19" s="8">
        <f t="shared" si="1"/>
        <v>293537</v>
      </c>
      <c r="I19" s="8">
        <f>H19/3</f>
        <v>97845.66666666667</v>
      </c>
      <c r="J19" s="8">
        <f>(H19-I19)*70%</f>
        <v>136983.93333333332</v>
      </c>
      <c r="K19" s="8">
        <f>H19-I19-J19</f>
        <v>58707.399999999994</v>
      </c>
    </row>
    <row r="20" spans="1:11" ht="12.75">
      <c r="A20" s="2" t="s">
        <v>15</v>
      </c>
      <c r="B20" s="1" t="s">
        <v>16</v>
      </c>
      <c r="C20" s="3">
        <f>C21+C22+C23</f>
        <v>249874.8</v>
      </c>
      <c r="D20" s="1" t="s">
        <v>43</v>
      </c>
      <c r="E20" s="8">
        <f>C20/5</f>
        <v>49974.96</v>
      </c>
      <c r="F20" s="2" t="s">
        <v>15</v>
      </c>
      <c r="G20" s="1" t="s">
        <v>16</v>
      </c>
      <c r="H20" s="8">
        <f t="shared" si="1"/>
        <v>49974.96</v>
      </c>
      <c r="I20" s="21"/>
      <c r="J20" s="21">
        <f>H20*70%</f>
        <v>34982.471999999994</v>
      </c>
      <c r="K20" s="21">
        <f>H20-J20</f>
        <v>14992.488000000005</v>
      </c>
    </row>
    <row r="21" spans="1:11" ht="12.75">
      <c r="A21" s="2"/>
      <c r="B21" s="1" t="s">
        <v>7</v>
      </c>
      <c r="C21" s="4">
        <v>63800</v>
      </c>
      <c r="D21" s="1"/>
      <c r="E21" s="7">
        <f>C21/5</f>
        <v>12760</v>
      </c>
      <c r="F21" s="2"/>
      <c r="G21" s="1" t="s">
        <v>7</v>
      </c>
      <c r="H21" s="8">
        <f t="shared" si="1"/>
        <v>12760</v>
      </c>
      <c r="I21" s="21"/>
      <c r="J21" s="21">
        <f>H21*70%</f>
        <v>8932</v>
      </c>
      <c r="K21" s="21">
        <f>H21-J21</f>
        <v>3828</v>
      </c>
    </row>
    <row r="22" spans="1:11" ht="12.75">
      <c r="A22" s="2"/>
      <c r="B22" s="1" t="s">
        <v>8</v>
      </c>
      <c r="C22" s="4">
        <f>C21*34.6%</f>
        <v>22074.800000000003</v>
      </c>
      <c r="D22" s="1"/>
      <c r="E22" s="8">
        <f>C22/5</f>
        <v>4414.960000000001</v>
      </c>
      <c r="F22" s="2"/>
      <c r="G22" s="1" t="s">
        <v>8</v>
      </c>
      <c r="H22" s="8">
        <f t="shared" si="1"/>
        <v>4414.960000000001</v>
      </c>
      <c r="I22" s="21"/>
      <c r="J22" s="21">
        <f>H22*70%</f>
        <v>3090.4720000000007</v>
      </c>
      <c r="K22" s="21">
        <f>H22-J22</f>
        <v>1324.4880000000003</v>
      </c>
    </row>
    <row r="23" spans="1:11" ht="12.75">
      <c r="A23" s="2"/>
      <c r="B23" s="1" t="s">
        <v>9</v>
      </c>
      <c r="C23" s="4">
        <v>164000</v>
      </c>
      <c r="D23" s="1"/>
      <c r="E23" s="7">
        <f>C23/5</f>
        <v>32800</v>
      </c>
      <c r="F23" s="2"/>
      <c r="G23" s="1" t="s">
        <v>9</v>
      </c>
      <c r="H23" s="8">
        <f t="shared" si="1"/>
        <v>32800</v>
      </c>
      <c r="I23" s="21"/>
      <c r="J23" s="21">
        <f>H23*70%</f>
        <v>22960</v>
      </c>
      <c r="K23" s="21">
        <f>H23-J23</f>
        <v>9840</v>
      </c>
    </row>
    <row r="24" spans="1:11" ht="12.75">
      <c r="A24" s="2" t="s">
        <v>19</v>
      </c>
      <c r="B24" s="1" t="s">
        <v>20</v>
      </c>
      <c r="C24" s="3">
        <f>C25+C26+C27</f>
        <v>216727.68</v>
      </c>
      <c r="D24" s="1"/>
      <c r="E24" s="8">
        <f>C24</f>
        <v>216727.68</v>
      </c>
      <c r="F24" s="2" t="s">
        <v>19</v>
      </c>
      <c r="G24" s="1" t="s">
        <v>20</v>
      </c>
      <c r="H24" s="8">
        <f>E24</f>
        <v>216727.68</v>
      </c>
      <c r="I24" s="8">
        <f aca="true" t="shared" si="2" ref="I24:I31">H24/3</f>
        <v>72242.56</v>
      </c>
      <c r="J24" s="8">
        <f>(H24-I24)*70%</f>
        <v>101139.58399999999</v>
      </c>
      <c r="K24" s="8">
        <f aca="true" t="shared" si="3" ref="K24:K31">H24-I24-J24</f>
        <v>43345.53600000001</v>
      </c>
    </row>
    <row r="25" spans="1:11" ht="12.75">
      <c r="A25" s="2"/>
      <c r="B25" s="1" t="s">
        <v>7</v>
      </c>
      <c r="C25" s="4">
        <f>57040*2</f>
        <v>114080</v>
      </c>
      <c r="D25" s="1"/>
      <c r="E25" s="7">
        <v>114080</v>
      </c>
      <c r="F25" s="2"/>
      <c r="G25" s="1" t="s">
        <v>7</v>
      </c>
      <c r="H25" s="7">
        <v>114080</v>
      </c>
      <c r="I25" s="21">
        <f t="shared" si="2"/>
        <v>38026.666666666664</v>
      </c>
      <c r="J25" s="21">
        <f aca="true" t="shared" si="4" ref="J25:J31">(H25-I25)*70%</f>
        <v>53237.333333333336</v>
      </c>
      <c r="K25" s="8">
        <f t="shared" si="3"/>
        <v>22816.000000000007</v>
      </c>
    </row>
    <row r="26" spans="1:11" ht="12.75">
      <c r="A26" s="2"/>
      <c r="B26" s="1" t="s">
        <v>8</v>
      </c>
      <c r="C26" s="4">
        <f>C25*34.6%</f>
        <v>39471.68</v>
      </c>
      <c r="D26" s="1"/>
      <c r="E26" s="8">
        <f>C26</f>
        <v>39471.68</v>
      </c>
      <c r="F26" s="2"/>
      <c r="G26" s="1" t="s">
        <v>8</v>
      </c>
      <c r="H26" s="8">
        <f>E26</f>
        <v>39471.68</v>
      </c>
      <c r="I26" s="21">
        <f t="shared" si="2"/>
        <v>13157.226666666667</v>
      </c>
      <c r="J26" s="21">
        <f t="shared" si="4"/>
        <v>18420.11733333333</v>
      </c>
      <c r="K26" s="8">
        <f t="shared" si="3"/>
        <v>7894.335999999999</v>
      </c>
    </row>
    <row r="27" spans="1:11" ht="12.75">
      <c r="A27" s="2"/>
      <c r="B27" s="1" t="s">
        <v>9</v>
      </c>
      <c r="C27" s="4">
        <f>31588*2</f>
        <v>63176</v>
      </c>
      <c r="D27" s="1"/>
      <c r="E27" s="8">
        <v>63176</v>
      </c>
      <c r="F27" s="2"/>
      <c r="G27" s="1" t="s">
        <v>9</v>
      </c>
      <c r="H27" s="8">
        <v>63176</v>
      </c>
      <c r="I27" s="21">
        <f t="shared" si="2"/>
        <v>21058.666666666668</v>
      </c>
      <c r="J27" s="21">
        <f t="shared" si="4"/>
        <v>29482.133333333328</v>
      </c>
      <c r="K27" s="8">
        <f t="shared" si="3"/>
        <v>12635.2</v>
      </c>
    </row>
    <row r="28" spans="1:11" ht="12.75">
      <c r="A28" s="2" t="s">
        <v>21</v>
      </c>
      <c r="B28" s="1" t="s">
        <v>22</v>
      </c>
      <c r="C28" s="3">
        <f>C29+C30+C31</f>
        <v>939752.94</v>
      </c>
      <c r="D28" s="1"/>
      <c r="E28" s="8">
        <f>C28</f>
        <v>939752.94</v>
      </c>
      <c r="F28" s="2" t="s">
        <v>21</v>
      </c>
      <c r="G28" s="1" t="s">
        <v>22</v>
      </c>
      <c r="H28" s="8">
        <f>E28</f>
        <v>939752.94</v>
      </c>
      <c r="I28" s="8">
        <f t="shared" si="2"/>
        <v>313250.98</v>
      </c>
      <c r="J28" s="8">
        <f t="shared" si="4"/>
        <v>438551.372</v>
      </c>
      <c r="K28" s="8">
        <f t="shared" si="3"/>
        <v>187950.588</v>
      </c>
    </row>
    <row r="29" spans="1:11" ht="12.75">
      <c r="A29" s="2"/>
      <c r="B29" s="1" t="s">
        <v>7</v>
      </c>
      <c r="C29" s="4">
        <f>240890</f>
        <v>240890</v>
      </c>
      <c r="D29" s="1"/>
      <c r="E29" s="7">
        <v>240890</v>
      </c>
      <c r="F29" s="2"/>
      <c r="G29" s="1" t="s">
        <v>7</v>
      </c>
      <c r="H29" s="7">
        <v>240890</v>
      </c>
      <c r="I29" s="21">
        <f t="shared" si="2"/>
        <v>80296.66666666667</v>
      </c>
      <c r="J29" s="21">
        <f t="shared" si="4"/>
        <v>112415.33333333331</v>
      </c>
      <c r="K29" s="8">
        <f t="shared" si="3"/>
        <v>48178</v>
      </c>
    </row>
    <row r="30" spans="1:11" ht="12.75">
      <c r="A30" s="2"/>
      <c r="B30" s="1" t="s">
        <v>8</v>
      </c>
      <c r="C30" s="4">
        <f>C29*34.6%</f>
        <v>83347.94</v>
      </c>
      <c r="D30" s="1"/>
      <c r="E30" s="8">
        <f>C30</f>
        <v>83347.94</v>
      </c>
      <c r="F30" s="2"/>
      <c r="G30" s="1" t="s">
        <v>8</v>
      </c>
      <c r="H30" s="8">
        <f>E30</f>
        <v>83347.94</v>
      </c>
      <c r="I30" s="21">
        <f t="shared" si="2"/>
        <v>27782.646666666667</v>
      </c>
      <c r="J30" s="21">
        <f t="shared" si="4"/>
        <v>38895.70533333333</v>
      </c>
      <c r="K30" s="8">
        <f t="shared" si="3"/>
        <v>16669.588000000003</v>
      </c>
    </row>
    <row r="31" spans="1:11" ht="12.75">
      <c r="A31" s="2"/>
      <c r="B31" s="1" t="s">
        <v>23</v>
      </c>
      <c r="C31" s="4">
        <f>5*123103</f>
        <v>615515</v>
      </c>
      <c r="D31" s="1"/>
      <c r="E31" s="7">
        <v>615515</v>
      </c>
      <c r="F31" s="2"/>
      <c r="G31" s="1" t="s">
        <v>23</v>
      </c>
      <c r="H31" s="7">
        <v>615515</v>
      </c>
      <c r="I31" s="21">
        <f t="shared" si="2"/>
        <v>205171.66666666666</v>
      </c>
      <c r="J31" s="21">
        <f t="shared" si="4"/>
        <v>287240.3333333333</v>
      </c>
      <c r="K31" s="8">
        <f t="shared" si="3"/>
        <v>123103.00000000006</v>
      </c>
    </row>
    <row r="32" spans="1:11" ht="12.75">
      <c r="A32" s="2" t="s">
        <v>24</v>
      </c>
      <c r="B32" s="1" t="s">
        <v>25</v>
      </c>
      <c r="C32" s="3">
        <f>C33+C34+C35</f>
        <v>439813.764</v>
      </c>
      <c r="D32" s="1"/>
      <c r="E32" s="8">
        <f>C32</f>
        <v>439813.764</v>
      </c>
      <c r="F32" s="2" t="s">
        <v>24</v>
      </c>
      <c r="G32" s="1" t="s">
        <v>25</v>
      </c>
      <c r="H32" s="8">
        <f>E32</f>
        <v>439813.764</v>
      </c>
      <c r="I32" s="1"/>
      <c r="J32" s="8">
        <f>H32*70%</f>
        <v>307869.6348</v>
      </c>
      <c r="K32" s="8">
        <f>H32-J32</f>
        <v>131944.12920000002</v>
      </c>
    </row>
    <row r="33" spans="1:11" ht="12.75">
      <c r="A33" s="2"/>
      <c r="B33" s="1" t="s">
        <v>7</v>
      </c>
      <c r="C33" s="4">
        <f>87232+109802</f>
        <v>197034</v>
      </c>
      <c r="D33" s="1"/>
      <c r="E33" s="7">
        <v>197034</v>
      </c>
      <c r="F33" s="2"/>
      <c r="G33" s="1" t="s">
        <v>7</v>
      </c>
      <c r="H33" s="7">
        <v>197034</v>
      </c>
      <c r="I33" s="1"/>
      <c r="J33" s="21">
        <f>H33*70%</f>
        <v>137923.8</v>
      </c>
      <c r="K33" s="21">
        <f>H33-J33</f>
        <v>59110.20000000001</v>
      </c>
    </row>
    <row r="34" spans="1:11" ht="12.75">
      <c r="A34" s="2"/>
      <c r="B34" s="1" t="s">
        <v>8</v>
      </c>
      <c r="C34" s="4">
        <f>C33*34.6%</f>
        <v>68173.76400000001</v>
      </c>
      <c r="D34" s="1"/>
      <c r="E34" s="8">
        <f>C34</f>
        <v>68173.76400000001</v>
      </c>
      <c r="F34" s="2"/>
      <c r="G34" s="1" t="s">
        <v>8</v>
      </c>
      <c r="H34" s="8">
        <f>E34</f>
        <v>68173.76400000001</v>
      </c>
      <c r="I34" s="1"/>
      <c r="J34" s="21">
        <f>H34*70%</f>
        <v>47721.63480000001</v>
      </c>
      <c r="K34" s="21">
        <f>H34-J34</f>
        <v>20452.129200000003</v>
      </c>
    </row>
    <row r="35" spans="1:11" ht="12.75">
      <c r="A35" s="2"/>
      <c r="B35" s="1" t="s">
        <v>9</v>
      </c>
      <c r="C35" s="4">
        <f>168106+6500</f>
        <v>174606</v>
      </c>
      <c r="D35" s="1"/>
      <c r="E35" s="7">
        <v>174606</v>
      </c>
      <c r="F35" s="2"/>
      <c r="G35" s="1" t="s">
        <v>9</v>
      </c>
      <c r="H35" s="7">
        <v>174606</v>
      </c>
      <c r="I35" s="1"/>
      <c r="J35" s="21">
        <f>H35*70%</f>
        <v>122224.2</v>
      </c>
      <c r="K35" s="21">
        <f>H35-J35</f>
        <v>52381.8</v>
      </c>
    </row>
    <row r="36" spans="1:11" ht="12.75">
      <c r="A36" s="2" t="s">
        <v>26</v>
      </c>
      <c r="B36" s="1" t="s">
        <v>27</v>
      </c>
      <c r="C36" s="3">
        <f>C37+C38+C39</f>
        <v>431014.8</v>
      </c>
      <c r="D36" s="1"/>
      <c r="E36" s="8">
        <f>C36</f>
        <v>431014.8</v>
      </c>
      <c r="F36" s="2" t="s">
        <v>26</v>
      </c>
      <c r="G36" s="1" t="s">
        <v>27</v>
      </c>
      <c r="H36" s="8">
        <f>E36</f>
        <v>431014.8</v>
      </c>
      <c r="I36" s="8">
        <f aca="true" t="shared" si="5" ref="I36:I53">H36/3</f>
        <v>143671.6</v>
      </c>
      <c r="J36" s="8">
        <f aca="true" t="shared" si="6" ref="J36:J53">(H36-I36)*70%</f>
        <v>201140.23999999996</v>
      </c>
      <c r="K36" s="8">
        <f aca="true" t="shared" si="7" ref="K36:K53">H36-I36-J36</f>
        <v>86202.95999999999</v>
      </c>
    </row>
    <row r="37" spans="1:11" ht="12.75">
      <c r="A37" s="2"/>
      <c r="B37" s="1" t="s">
        <v>7</v>
      </c>
      <c r="C37" s="4">
        <v>53800</v>
      </c>
      <c r="D37" s="1"/>
      <c r="E37" s="7">
        <v>53800</v>
      </c>
      <c r="F37" s="2"/>
      <c r="G37" s="1" t="s">
        <v>7</v>
      </c>
      <c r="H37" s="7">
        <v>53800</v>
      </c>
      <c r="I37" s="21">
        <f t="shared" si="5"/>
        <v>17933.333333333332</v>
      </c>
      <c r="J37" s="21">
        <f t="shared" si="6"/>
        <v>25106.666666666668</v>
      </c>
      <c r="K37" s="8">
        <f t="shared" si="7"/>
        <v>10760.000000000004</v>
      </c>
    </row>
    <row r="38" spans="1:11" ht="12.75">
      <c r="A38" s="2"/>
      <c r="B38" s="1" t="s">
        <v>8</v>
      </c>
      <c r="C38" s="4">
        <f>C37*34.6%</f>
        <v>18614.800000000003</v>
      </c>
      <c r="D38" s="1"/>
      <c r="E38" s="8">
        <f>C38</f>
        <v>18614.800000000003</v>
      </c>
      <c r="F38" s="2"/>
      <c r="G38" s="1" t="s">
        <v>8</v>
      </c>
      <c r="H38" s="8">
        <f>E38</f>
        <v>18614.800000000003</v>
      </c>
      <c r="I38" s="21">
        <f t="shared" si="5"/>
        <v>6204.933333333334</v>
      </c>
      <c r="J38" s="21">
        <f t="shared" si="6"/>
        <v>8686.906666666668</v>
      </c>
      <c r="K38" s="8">
        <f t="shared" si="7"/>
        <v>3722.960000000001</v>
      </c>
    </row>
    <row r="39" spans="1:11" ht="12.75">
      <c r="A39" s="2"/>
      <c r="B39" s="1" t="s">
        <v>28</v>
      </c>
      <c r="C39" s="4">
        <v>358600</v>
      </c>
      <c r="D39" s="1"/>
      <c r="E39" s="7">
        <v>358600</v>
      </c>
      <c r="F39" s="2"/>
      <c r="G39" s="1" t="s">
        <v>28</v>
      </c>
      <c r="H39" s="7">
        <v>358600</v>
      </c>
      <c r="I39" s="8">
        <f t="shared" si="5"/>
        <v>119533.33333333333</v>
      </c>
      <c r="J39" s="21">
        <f t="shared" si="6"/>
        <v>167346.66666666666</v>
      </c>
      <c r="K39" s="8">
        <f t="shared" si="7"/>
        <v>71720.00000000003</v>
      </c>
    </row>
    <row r="40" spans="1:11" ht="12.75">
      <c r="A40" s="2" t="s">
        <v>29</v>
      </c>
      <c r="B40" s="1" t="s">
        <v>30</v>
      </c>
      <c r="C40" s="3">
        <f>C41+C42+C43</f>
        <v>612841.312</v>
      </c>
      <c r="D40" s="1"/>
      <c r="E40" s="8">
        <f>C40</f>
        <v>612841.312</v>
      </c>
      <c r="F40" s="2" t="s">
        <v>29</v>
      </c>
      <c r="G40" s="1" t="s">
        <v>30</v>
      </c>
      <c r="H40" s="8">
        <f>E40</f>
        <v>612841.312</v>
      </c>
      <c r="I40" s="8">
        <f t="shared" si="5"/>
        <v>204280.43733333334</v>
      </c>
      <c r="J40" s="8">
        <f t="shared" si="6"/>
        <v>285992.61226666666</v>
      </c>
      <c r="K40" s="8">
        <f t="shared" si="7"/>
        <v>122568.26240000007</v>
      </c>
    </row>
    <row r="41" spans="1:11" ht="12.75">
      <c r="A41" s="2"/>
      <c r="B41" s="1" t="s">
        <v>7</v>
      </c>
      <c r="C41" s="4">
        <v>89472</v>
      </c>
      <c r="D41" s="1"/>
      <c r="E41" s="7">
        <v>89472</v>
      </c>
      <c r="F41" s="2"/>
      <c r="G41" s="1" t="s">
        <v>7</v>
      </c>
      <c r="H41" s="7">
        <v>89472</v>
      </c>
      <c r="I41" s="1">
        <f t="shared" si="5"/>
        <v>29824</v>
      </c>
      <c r="J41" s="21">
        <f t="shared" si="6"/>
        <v>41753.6</v>
      </c>
      <c r="K41" s="8">
        <f t="shared" si="7"/>
        <v>17894.4</v>
      </c>
    </row>
    <row r="42" spans="1:11" ht="12.75">
      <c r="A42" s="2"/>
      <c r="B42" s="1" t="s">
        <v>8</v>
      </c>
      <c r="C42" s="4">
        <f>C41*34.6%</f>
        <v>30957.312</v>
      </c>
      <c r="D42" s="1"/>
      <c r="E42" s="8">
        <f>C42</f>
        <v>30957.312</v>
      </c>
      <c r="F42" s="2"/>
      <c r="G42" s="1" t="s">
        <v>8</v>
      </c>
      <c r="H42" s="8">
        <f>E42</f>
        <v>30957.312</v>
      </c>
      <c r="I42" s="21">
        <f t="shared" si="5"/>
        <v>10319.104000000001</v>
      </c>
      <c r="J42" s="21">
        <f t="shared" si="6"/>
        <v>14446.745599999998</v>
      </c>
      <c r="K42" s="8">
        <f t="shared" si="7"/>
        <v>6191.4624</v>
      </c>
    </row>
    <row r="43" spans="1:11" ht="12.75">
      <c r="A43" s="2"/>
      <c r="B43" s="1" t="s">
        <v>41</v>
      </c>
      <c r="C43" s="4">
        <f>4*123103</f>
        <v>492412</v>
      </c>
      <c r="D43" s="1"/>
      <c r="E43" s="7">
        <v>492412</v>
      </c>
      <c r="F43" s="2"/>
      <c r="G43" s="1" t="s">
        <v>41</v>
      </c>
      <c r="H43" s="7">
        <v>492412</v>
      </c>
      <c r="I43" s="21">
        <f t="shared" si="5"/>
        <v>164137.33333333334</v>
      </c>
      <c r="J43" s="21">
        <f t="shared" si="6"/>
        <v>229792.26666666663</v>
      </c>
      <c r="K43" s="8">
        <f t="shared" si="7"/>
        <v>98482.4</v>
      </c>
    </row>
    <row r="44" spans="1:11" ht="12.75">
      <c r="A44" s="2" t="s">
        <v>31</v>
      </c>
      <c r="B44" s="1" t="s">
        <v>32</v>
      </c>
      <c r="C44" s="3">
        <f>C45+C46+C47</f>
        <v>276205.056</v>
      </c>
      <c r="D44" s="1"/>
      <c r="E44" s="8">
        <f aca="true" t="shared" si="8" ref="E44:E51">C44</f>
        <v>276205.056</v>
      </c>
      <c r="F44" s="2" t="s">
        <v>31</v>
      </c>
      <c r="G44" s="1" t="s">
        <v>32</v>
      </c>
      <c r="H44" s="8">
        <f aca="true" t="shared" si="9" ref="H44:H51">E44</f>
        <v>276205.056</v>
      </c>
      <c r="I44" s="8">
        <f t="shared" si="5"/>
        <v>92068.352</v>
      </c>
      <c r="J44" s="8">
        <f t="shared" si="6"/>
        <v>128895.69279999998</v>
      </c>
      <c r="K44" s="8">
        <f t="shared" si="7"/>
        <v>55241.01119999999</v>
      </c>
    </row>
    <row r="45" spans="1:11" ht="12.75">
      <c r="A45" s="2"/>
      <c r="B45" s="1" t="s">
        <v>7</v>
      </c>
      <c r="C45" s="4">
        <v>107136</v>
      </c>
      <c r="D45" s="1"/>
      <c r="E45" s="8">
        <f t="shared" si="8"/>
        <v>107136</v>
      </c>
      <c r="F45" s="2"/>
      <c r="G45" s="1" t="s">
        <v>7</v>
      </c>
      <c r="H45" s="8">
        <f t="shared" si="9"/>
        <v>107136</v>
      </c>
      <c r="I45" s="1">
        <f t="shared" si="5"/>
        <v>35712</v>
      </c>
      <c r="J45" s="21">
        <f t="shared" si="6"/>
        <v>49996.799999999996</v>
      </c>
      <c r="K45" s="8">
        <f t="shared" si="7"/>
        <v>21427.200000000004</v>
      </c>
    </row>
    <row r="46" spans="1:11" ht="12.75">
      <c r="A46" s="2"/>
      <c r="B46" s="1" t="s">
        <v>8</v>
      </c>
      <c r="C46" s="4">
        <f>C45*34.6%</f>
        <v>37069.056000000004</v>
      </c>
      <c r="D46" s="1"/>
      <c r="E46" s="8">
        <f t="shared" si="8"/>
        <v>37069.056000000004</v>
      </c>
      <c r="F46" s="2"/>
      <c r="G46" s="1" t="s">
        <v>8</v>
      </c>
      <c r="H46" s="8">
        <f t="shared" si="9"/>
        <v>37069.056000000004</v>
      </c>
      <c r="I46" s="21">
        <f t="shared" si="5"/>
        <v>12356.352</v>
      </c>
      <c r="J46" s="21">
        <f t="shared" si="6"/>
        <v>17298.8928</v>
      </c>
      <c r="K46" s="8">
        <f t="shared" si="7"/>
        <v>7413.811200000004</v>
      </c>
    </row>
    <row r="47" spans="1:11" ht="12.75">
      <c r="A47" s="2"/>
      <c r="B47" s="1" t="s">
        <v>33</v>
      </c>
      <c r="C47" s="4">
        <f>6*22000</f>
        <v>132000</v>
      </c>
      <c r="D47" s="1"/>
      <c r="E47" s="8">
        <f t="shared" si="8"/>
        <v>132000</v>
      </c>
      <c r="F47" s="2"/>
      <c r="G47" s="1" t="s">
        <v>33</v>
      </c>
      <c r="H47" s="8">
        <f t="shared" si="9"/>
        <v>132000</v>
      </c>
      <c r="I47" s="1">
        <f t="shared" si="5"/>
        <v>44000</v>
      </c>
      <c r="J47" s="21">
        <f t="shared" si="6"/>
        <v>61599.99999999999</v>
      </c>
      <c r="K47" s="8">
        <f t="shared" si="7"/>
        <v>26400.000000000007</v>
      </c>
    </row>
    <row r="48" spans="1:11" ht="12.75">
      <c r="A48" s="2" t="s">
        <v>34</v>
      </c>
      <c r="B48" s="1" t="s">
        <v>35</v>
      </c>
      <c r="C48" s="3">
        <f>C49+C50+C51</f>
        <v>65721.408</v>
      </c>
      <c r="D48" s="1"/>
      <c r="E48" s="8">
        <f t="shared" si="8"/>
        <v>65721.408</v>
      </c>
      <c r="F48" s="2" t="s">
        <v>34</v>
      </c>
      <c r="G48" s="1" t="s">
        <v>35</v>
      </c>
      <c r="H48" s="8">
        <f t="shared" si="9"/>
        <v>65721.408</v>
      </c>
      <c r="I48" s="8">
        <f t="shared" si="5"/>
        <v>21907.136</v>
      </c>
      <c r="J48" s="8">
        <f t="shared" si="6"/>
        <v>30669.990399999995</v>
      </c>
      <c r="K48" s="8">
        <f t="shared" si="7"/>
        <v>13144.281600000002</v>
      </c>
    </row>
    <row r="49" spans="1:11" ht="12.75">
      <c r="A49" s="2"/>
      <c r="B49" s="1" t="s">
        <v>7</v>
      </c>
      <c r="C49" s="4">
        <v>3098</v>
      </c>
      <c r="D49" s="1"/>
      <c r="E49" s="8">
        <f t="shared" si="8"/>
        <v>3098</v>
      </c>
      <c r="F49" s="2"/>
      <c r="G49" s="1" t="s">
        <v>7</v>
      </c>
      <c r="H49" s="8">
        <f t="shared" si="9"/>
        <v>3098</v>
      </c>
      <c r="I49" s="21">
        <f t="shared" si="5"/>
        <v>1032.6666666666667</v>
      </c>
      <c r="J49" s="21">
        <f t="shared" si="6"/>
        <v>1445.7333333333331</v>
      </c>
      <c r="K49" s="8">
        <f t="shared" si="7"/>
        <v>619.5999999999999</v>
      </c>
    </row>
    <row r="50" spans="1:11" ht="12.75">
      <c r="A50" s="2"/>
      <c r="B50" s="1" t="s">
        <v>8</v>
      </c>
      <c r="C50" s="4">
        <f>C49*34.6%</f>
        <v>1071.9080000000001</v>
      </c>
      <c r="D50" s="1"/>
      <c r="E50" s="8">
        <f t="shared" si="8"/>
        <v>1071.9080000000001</v>
      </c>
      <c r="F50" s="2"/>
      <c r="G50" s="1" t="s">
        <v>8</v>
      </c>
      <c r="H50" s="8">
        <f t="shared" si="9"/>
        <v>1071.9080000000001</v>
      </c>
      <c r="I50" s="21">
        <f t="shared" si="5"/>
        <v>357.3026666666667</v>
      </c>
      <c r="J50" s="21">
        <f t="shared" si="6"/>
        <v>500.22373333333337</v>
      </c>
      <c r="K50" s="8">
        <f t="shared" si="7"/>
        <v>214.38160000000005</v>
      </c>
    </row>
    <row r="51" spans="1:11" ht="12.75">
      <c r="A51" s="2"/>
      <c r="B51" s="1" t="s">
        <v>36</v>
      </c>
      <c r="C51" s="4">
        <f>0.5*123103</f>
        <v>61551.5</v>
      </c>
      <c r="D51" s="1"/>
      <c r="E51" s="8">
        <f t="shared" si="8"/>
        <v>61551.5</v>
      </c>
      <c r="F51" s="2"/>
      <c r="G51" s="1" t="s">
        <v>36</v>
      </c>
      <c r="H51" s="8">
        <f t="shared" si="9"/>
        <v>61551.5</v>
      </c>
      <c r="I51" s="21">
        <f t="shared" si="5"/>
        <v>20517.166666666668</v>
      </c>
      <c r="J51" s="21">
        <f t="shared" si="6"/>
        <v>28724.03333333333</v>
      </c>
      <c r="K51" s="8">
        <f t="shared" si="7"/>
        <v>12310.3</v>
      </c>
    </row>
    <row r="52" spans="1:11" ht="12.75">
      <c r="A52" s="2" t="s">
        <v>37</v>
      </c>
      <c r="B52" s="1" t="s">
        <v>38</v>
      </c>
      <c r="C52" s="3">
        <v>1243000</v>
      </c>
      <c r="D52" s="1"/>
      <c r="E52" s="7">
        <v>1243000</v>
      </c>
      <c r="F52" s="2" t="s">
        <v>37</v>
      </c>
      <c r="G52" s="1" t="s">
        <v>38</v>
      </c>
      <c r="H52" s="7">
        <v>1243000</v>
      </c>
      <c r="I52" s="8">
        <f t="shared" si="5"/>
        <v>414333.3333333333</v>
      </c>
      <c r="J52" s="8">
        <f t="shared" si="6"/>
        <v>580066.6666666666</v>
      </c>
      <c r="K52" s="8">
        <f t="shared" si="7"/>
        <v>248600.00000000012</v>
      </c>
    </row>
    <row r="53" spans="1:11" ht="12.75">
      <c r="A53" s="2" t="s">
        <v>39</v>
      </c>
      <c r="B53" s="1" t="s">
        <v>40</v>
      </c>
      <c r="C53" s="3">
        <v>68500</v>
      </c>
      <c r="D53" s="1"/>
      <c r="E53" s="27">
        <v>68500</v>
      </c>
      <c r="F53" s="2" t="s">
        <v>39</v>
      </c>
      <c r="G53" s="1" t="s">
        <v>40</v>
      </c>
      <c r="H53" s="7">
        <v>68500</v>
      </c>
      <c r="I53" s="8">
        <f t="shared" si="5"/>
        <v>22833.333333333332</v>
      </c>
      <c r="J53" s="21">
        <f t="shared" si="6"/>
        <v>31966.666666666668</v>
      </c>
      <c r="K53" s="8">
        <f t="shared" si="7"/>
        <v>13700.000000000004</v>
      </c>
    </row>
    <row r="54" spans="1:11" ht="12.75">
      <c r="A54" s="2"/>
      <c r="B54" s="1" t="s">
        <v>17</v>
      </c>
      <c r="C54" s="3">
        <f>C7+C11+C15+C19+C20+C24+C28+C32+C36+C40+C44+C48+C52+C53</f>
        <v>16431582.586000003</v>
      </c>
      <c r="D54" s="4"/>
      <c r="E54" s="3">
        <f>E7+E11+E15+E19+E20+E24+E28+E32+E36+E40+E44+E48+E52+E53</f>
        <v>6427641.0852</v>
      </c>
      <c r="F54" s="2"/>
      <c r="G54" s="1" t="s">
        <v>17</v>
      </c>
      <c r="H54" s="3">
        <f>H7+H11+H15+H19+H20+H24+H28+H32+H36+H40+H44+H48+H52+H53</f>
        <v>6427641.0852</v>
      </c>
      <c r="I54" s="8">
        <f>I11+I19+I24+I28+I36+I40+I44+I48+I52+I53</f>
        <v>1515472.1006666664</v>
      </c>
      <c r="J54" s="22">
        <f>J7+J11+J15+J19+J24+J28+J32+J36+J40+J44+J48+J52+J53+J20</f>
        <v>3438518.289173333</v>
      </c>
      <c r="K54" s="3">
        <f>K7+K11+K15+K19+K24+K28+K32+K36+K40+K44+K48+K52+K53+K20</f>
        <v>1473650.6953600002</v>
      </c>
    </row>
    <row r="55" ht="12.75">
      <c r="A55" s="5"/>
    </row>
    <row r="56" spans="1:11" ht="12.75">
      <c r="A56" s="5"/>
      <c r="G56" t="s">
        <v>95</v>
      </c>
      <c r="I56" s="6">
        <f>I12+I25+I29+I37+I41+I45+I49</f>
        <v>288612.3333333333</v>
      </c>
      <c r="J56" s="6">
        <f>J8+J12+J16+J21+J25+J29+J49+J33+J37+J41+J45</f>
        <v>999763.7066666665</v>
      </c>
      <c r="K56" s="6">
        <f>K8+K12+K16+K21+K25+K29+K33+K37+K41+K45+K49</f>
        <v>428470.1600000001</v>
      </c>
    </row>
    <row r="57" spans="1:11" ht="12.75">
      <c r="A57" s="5"/>
      <c r="G57" t="s">
        <v>96</v>
      </c>
      <c r="I57" s="6">
        <f>I14+I27+I39+I53+I19</f>
        <v>278840.4</v>
      </c>
      <c r="J57" s="6">
        <f>J10+J14+J18+J23+J27+J53+J35+J39+J19</f>
        <v>905413.0399999999</v>
      </c>
      <c r="K57" s="6">
        <f>K10+K14+K18+K23+K27+K35+K39+K53+K19</f>
        <v>388034.16000000015</v>
      </c>
    </row>
    <row r="58" spans="1:11" ht="12.75">
      <c r="A58" s="5"/>
      <c r="G58" t="s">
        <v>97</v>
      </c>
      <c r="I58" s="6">
        <f>I52+I51+I43+I31+I47</f>
        <v>848159.5</v>
      </c>
      <c r="J58" s="6">
        <f>J31+J43+J47+J51+J52</f>
        <v>1187423.2999999998</v>
      </c>
      <c r="K58" s="6">
        <f>K31+K43+K47+K51+K52</f>
        <v>508895.7000000002</v>
      </c>
    </row>
    <row r="59" spans="1:11" ht="12.75">
      <c r="A59" s="5"/>
      <c r="G59" t="s">
        <v>98</v>
      </c>
      <c r="I59" s="6">
        <f>I56*34.6%</f>
        <v>99859.86733333333</v>
      </c>
      <c r="J59" s="6">
        <f>J56*34.6%</f>
        <v>345918.24250666663</v>
      </c>
      <c r="K59" s="6">
        <f>K56*34.6%</f>
        <v>148250.67536000005</v>
      </c>
    </row>
    <row r="62" ht="12.75">
      <c r="E62" s="6">
        <f>E8+E12+E16+E21+E25+E29+E33+E37+E41+E45+E49</f>
        <v>1716846.2</v>
      </c>
    </row>
    <row r="63" spans="5:11" ht="12.75">
      <c r="E63" s="6">
        <f>E10+E14+E18+E23+E27+E35+E39+E53+E19</f>
        <v>1572287.6</v>
      </c>
      <c r="J63" s="6"/>
      <c r="K63" s="6"/>
    </row>
    <row r="64" ht="12.75">
      <c r="E64" s="6">
        <f>E31+E43+E47+E51+E52</f>
        <v>2544478.5</v>
      </c>
    </row>
    <row r="65" ht="12.75">
      <c r="E65" s="6">
        <f>E62*34.6%</f>
        <v>594028.7852</v>
      </c>
    </row>
    <row r="66" ht="12.75">
      <c r="E66" s="6">
        <f>SUM(E62:E65)</f>
        <v>6427641.0852</v>
      </c>
    </row>
    <row r="67" ht="12.75">
      <c r="E67" s="6"/>
    </row>
  </sheetData>
  <sheetProtection/>
  <mergeCells count="2">
    <mergeCell ref="B2:C2"/>
    <mergeCell ref="B3:C3"/>
  </mergeCells>
  <printOptions/>
  <pageMargins left="0.75" right="0.47" top="0.5" bottom="0.4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.875" style="0" customWidth="1"/>
    <col min="4" max="4" width="8.00390625" style="0" customWidth="1"/>
    <col min="5" max="5" width="2.125" style="0" customWidth="1"/>
    <col min="6" max="6" width="9.375" style="0" customWidth="1"/>
    <col min="7" max="7" width="12.125" style="0" customWidth="1"/>
    <col min="8" max="8" width="11.625" style="0" customWidth="1"/>
    <col min="9" max="9" width="15.375" style="0" customWidth="1"/>
    <col min="10" max="10" width="16.75390625" style="0" customWidth="1"/>
  </cols>
  <sheetData>
    <row r="2" spans="9:10" ht="12.75">
      <c r="I2" s="24" t="s">
        <v>48</v>
      </c>
      <c r="J2" s="24"/>
    </row>
    <row r="3" spans="9:10" ht="12.75">
      <c r="I3" s="24"/>
      <c r="J3" s="24"/>
    </row>
    <row r="4" spans="9:10" ht="12.75">
      <c r="I4" s="24" t="s">
        <v>49</v>
      </c>
      <c r="J4" s="24"/>
    </row>
    <row r="5" spans="9:10" ht="12.75">
      <c r="I5" s="24"/>
      <c r="J5" s="24"/>
    </row>
    <row r="6" spans="9:10" ht="12.75">
      <c r="I6" s="24" t="s">
        <v>50</v>
      </c>
      <c r="J6" s="24"/>
    </row>
    <row r="7" spans="9:10" ht="12.75">
      <c r="I7" s="24"/>
      <c r="J7" s="24"/>
    </row>
    <row r="8" spans="9:10" ht="12.75">
      <c r="I8" s="24" t="s">
        <v>103</v>
      </c>
      <c r="J8" s="24"/>
    </row>
    <row r="9" spans="9:10" ht="14.25">
      <c r="I9" s="23"/>
      <c r="J9" s="23"/>
    </row>
    <row r="11" spans="1:10" ht="15">
      <c r="A11" s="66" t="s">
        <v>51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">
      <c r="A12" s="66" t="s">
        <v>52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>
      <c r="A13" s="66" t="s">
        <v>67</v>
      </c>
      <c r="B13" s="66"/>
      <c r="C13" s="66"/>
      <c r="D13" s="66"/>
      <c r="E13" s="66"/>
      <c r="F13" s="66"/>
      <c r="G13" s="66"/>
      <c r="H13" s="66"/>
      <c r="I13" s="66"/>
      <c r="J13" s="66"/>
    </row>
    <row r="16" spans="1:10" ht="12.75">
      <c r="A16" s="10"/>
      <c r="B16" s="11"/>
      <c r="C16" s="11"/>
      <c r="D16" s="11"/>
      <c r="E16" s="11"/>
      <c r="F16" s="11"/>
      <c r="G16" s="12"/>
      <c r="H16" s="67" t="s">
        <v>75</v>
      </c>
      <c r="I16" s="67"/>
      <c r="J16" s="68"/>
    </row>
    <row r="17" spans="1:10" ht="12.75">
      <c r="A17" s="13"/>
      <c r="B17" s="14"/>
      <c r="C17" s="14"/>
      <c r="D17" s="14"/>
      <c r="E17" s="14"/>
      <c r="F17" s="14"/>
      <c r="G17" s="15"/>
      <c r="H17" t="s">
        <v>76</v>
      </c>
      <c r="I17" t="s">
        <v>76</v>
      </c>
      <c r="J17" t="s">
        <v>76</v>
      </c>
    </row>
    <row r="18" spans="1:10" ht="12.75">
      <c r="A18" s="10" t="s">
        <v>53</v>
      </c>
      <c r="B18" s="11"/>
      <c r="C18" s="11"/>
      <c r="D18" s="11"/>
      <c r="E18" s="11"/>
      <c r="F18" s="12"/>
      <c r="G18" s="9" t="s">
        <v>68</v>
      </c>
      <c r="H18" s="1" t="s">
        <v>77</v>
      </c>
      <c r="I18" s="1" t="s">
        <v>81</v>
      </c>
      <c r="J18" s="1" t="s">
        <v>81</v>
      </c>
    </row>
    <row r="19" spans="1:10" ht="12.75">
      <c r="A19" s="13"/>
      <c r="B19" s="14"/>
      <c r="C19" s="14"/>
      <c r="D19" s="14"/>
      <c r="E19" s="14"/>
      <c r="F19" s="15"/>
      <c r="G19" s="20" t="s">
        <v>69</v>
      </c>
      <c r="H19" s="1" t="s">
        <v>78</v>
      </c>
      <c r="I19" s="1" t="s">
        <v>78</v>
      </c>
      <c r="J19" s="1" t="s">
        <v>78</v>
      </c>
    </row>
    <row r="20" spans="1:10" ht="12.75">
      <c r="A20" s="13"/>
      <c r="B20" s="14"/>
      <c r="C20" s="14"/>
      <c r="D20" s="14"/>
      <c r="E20" s="14"/>
      <c r="F20" s="15"/>
      <c r="G20" s="20"/>
      <c r="H20" s="1" t="s">
        <v>79</v>
      </c>
      <c r="I20" s="1" t="s">
        <v>82</v>
      </c>
      <c r="J20" s="1" t="s">
        <v>84</v>
      </c>
    </row>
    <row r="21" spans="1:10" ht="12.75">
      <c r="A21" s="13"/>
      <c r="B21" s="14"/>
      <c r="C21" s="14"/>
      <c r="D21" s="14"/>
      <c r="E21" s="14"/>
      <c r="F21" s="15"/>
      <c r="G21" s="20"/>
      <c r="H21" s="1" t="s">
        <v>91</v>
      </c>
      <c r="I21" s="1" t="s">
        <v>93</v>
      </c>
      <c r="J21" s="1" t="s">
        <v>83</v>
      </c>
    </row>
    <row r="22" spans="1:10" ht="12.75">
      <c r="A22" s="13"/>
      <c r="B22" s="14"/>
      <c r="C22" s="14"/>
      <c r="D22" s="14"/>
      <c r="E22" s="14"/>
      <c r="F22" s="15"/>
      <c r="G22" s="20"/>
      <c r="H22" s="7" t="s">
        <v>92</v>
      </c>
      <c r="I22" s="7" t="s">
        <v>94</v>
      </c>
      <c r="J22" s="7" t="s">
        <v>85</v>
      </c>
    </row>
    <row r="23" spans="1:10" ht="12.75">
      <c r="A23" s="16" t="s">
        <v>54</v>
      </c>
      <c r="B23" s="17"/>
      <c r="C23" s="17"/>
      <c r="D23" s="17"/>
      <c r="E23" s="17"/>
      <c r="F23" s="9"/>
      <c r="G23" s="26">
        <f>Лист1!E10+Лист1!E14+Лист1!E18+Лист1!E23+Лист1!E27+Лист1!E35+Лист1!E39+Лист1!E53+Лист1!E19-1</f>
        <v>1572286.6</v>
      </c>
      <c r="H23" s="2">
        <v>278840</v>
      </c>
      <c r="I23" s="4">
        <f>Лист1!J57</f>
        <v>905413.0399999999</v>
      </c>
      <c r="J23" s="4">
        <f>Лист1!K57</f>
        <v>388034.16000000015</v>
      </c>
    </row>
    <row r="24" spans="1:10" ht="12.75">
      <c r="A24" s="16" t="s">
        <v>55</v>
      </c>
      <c r="B24" s="17"/>
      <c r="C24" s="17"/>
      <c r="D24" s="17"/>
      <c r="E24" s="17"/>
      <c r="F24" s="9"/>
      <c r="G24" s="25"/>
      <c r="H24" s="2"/>
      <c r="I24" s="2"/>
      <c r="J24" s="2"/>
    </row>
    <row r="25" spans="1:10" ht="12.75">
      <c r="A25" s="16" t="s">
        <v>56</v>
      </c>
      <c r="B25" s="17"/>
      <c r="C25" s="17"/>
      <c r="D25" s="17"/>
      <c r="E25" s="17"/>
      <c r="F25" s="9"/>
      <c r="G25" s="26">
        <f>G23</f>
        <v>1572286.6</v>
      </c>
      <c r="H25" s="2">
        <v>278840</v>
      </c>
      <c r="I25" s="4">
        <f>I23</f>
        <v>905413.0399999999</v>
      </c>
      <c r="J25" s="4">
        <f>J23</f>
        <v>388034.16000000015</v>
      </c>
    </row>
    <row r="26" spans="1:10" ht="12.75">
      <c r="A26" s="16" t="s">
        <v>57</v>
      </c>
      <c r="B26" s="17"/>
      <c r="C26" s="17"/>
      <c r="D26" s="17"/>
      <c r="E26" s="17"/>
      <c r="F26" s="9"/>
      <c r="G26" s="26">
        <f>Лист1!E8+Лист1!E12+Лист1!E16+Лист1!E21+Лист1!E25+Лист1!E29+Лист1!E33+Лист1!E37+Лист1!E41+Лист1!E45+Лист1!E49</f>
        <v>1716846.2</v>
      </c>
      <c r="H26" s="2">
        <v>288612</v>
      </c>
      <c r="I26" s="4">
        <f>Лист1!J56</f>
        <v>999763.7066666665</v>
      </c>
      <c r="J26" s="4">
        <f>Лист1!K56</f>
        <v>428470.1600000001</v>
      </c>
    </row>
    <row r="27" spans="1:10" ht="12.75">
      <c r="A27" s="16" t="s">
        <v>58</v>
      </c>
      <c r="B27" s="17"/>
      <c r="C27" s="17"/>
      <c r="D27" s="17"/>
      <c r="E27" s="17"/>
      <c r="F27" s="18">
        <v>0.34</v>
      </c>
      <c r="G27" s="26">
        <f>G26*34%</f>
        <v>583727.708</v>
      </c>
      <c r="H27" s="26">
        <f>H26*34%</f>
        <v>98128.08</v>
      </c>
      <c r="I27" s="26">
        <f>I26*34%</f>
        <v>339919.6602666667</v>
      </c>
      <c r="J27" s="26">
        <f>J26*34%</f>
        <v>145679.85440000004</v>
      </c>
    </row>
    <row r="28" spans="1:10" ht="12.75">
      <c r="A28" s="16" t="s">
        <v>59</v>
      </c>
      <c r="B28" s="17"/>
      <c r="C28" s="17"/>
      <c r="D28" s="17"/>
      <c r="E28" s="17"/>
      <c r="F28" s="19">
        <v>0.006</v>
      </c>
      <c r="G28" s="26">
        <f>G26*0.6%</f>
        <v>10301.0772</v>
      </c>
      <c r="H28" s="26">
        <f>H26*0.6%</f>
        <v>1731.672</v>
      </c>
      <c r="I28" s="26">
        <f>I26*0.6%</f>
        <v>5998.58224</v>
      </c>
      <c r="J28" s="26">
        <f>J26*0.6%</f>
        <v>2570.8209600000005</v>
      </c>
    </row>
    <row r="29" spans="1:10" ht="12.75">
      <c r="A29" s="16" t="s">
        <v>80</v>
      </c>
      <c r="B29" s="17"/>
      <c r="C29" s="17"/>
      <c r="D29" s="17"/>
      <c r="E29" s="17"/>
      <c r="F29" s="9"/>
      <c r="G29" s="26">
        <v>2544479</v>
      </c>
      <c r="H29" s="2">
        <v>848160</v>
      </c>
      <c r="I29" s="4">
        <f>Лист1!J58</f>
        <v>1187423.2999999998</v>
      </c>
      <c r="J29" s="4">
        <f>Лист1!K58</f>
        <v>508895.7000000002</v>
      </c>
    </row>
    <row r="30" spans="1:10" ht="12.75">
      <c r="A30" s="16" t="s">
        <v>86</v>
      </c>
      <c r="B30" s="17"/>
      <c r="C30" s="17"/>
      <c r="D30" s="17"/>
      <c r="E30" s="17"/>
      <c r="F30" s="9"/>
      <c r="G30" s="26">
        <f>G26*24.6%</f>
        <v>422344.16520000005</v>
      </c>
      <c r="H30" s="26">
        <f>H26*24.6%</f>
        <v>70998.55200000001</v>
      </c>
      <c r="I30" s="26">
        <f>I26*24.6%</f>
        <v>245941.87184</v>
      </c>
      <c r="J30" s="26">
        <f>J26*24.6%</f>
        <v>105403.65936000003</v>
      </c>
    </row>
    <row r="31" spans="1:10" ht="12.75">
      <c r="A31" s="16" t="s">
        <v>60</v>
      </c>
      <c r="B31" s="17"/>
      <c r="C31" s="17"/>
      <c r="D31" s="17"/>
      <c r="E31" s="17"/>
      <c r="F31" s="9"/>
      <c r="G31" s="26">
        <f>G25+G26+G27+G28+G29+G30</f>
        <v>6849984.7504</v>
      </c>
      <c r="H31" s="26">
        <f>H25+H26+H27+H28+H29+H30</f>
        <v>1586470.3039999998</v>
      </c>
      <c r="I31" s="26">
        <f>I25+I26+I27+I28+I29+I30</f>
        <v>3684460.161013333</v>
      </c>
      <c r="J31" s="26">
        <f>J25+J26+J27+J28+J29+J30</f>
        <v>1579054.3547200006</v>
      </c>
    </row>
    <row r="32" spans="1:10" ht="12.75">
      <c r="A32" s="16" t="s">
        <v>61</v>
      </c>
      <c r="B32" s="17"/>
      <c r="C32" s="17"/>
      <c r="D32" s="17"/>
      <c r="E32" s="17"/>
      <c r="F32" s="19">
        <v>0.035</v>
      </c>
      <c r="G32" s="26">
        <f>G31*3.5%</f>
        <v>239749.46626400005</v>
      </c>
      <c r="H32" s="26">
        <f>H31*3.5%</f>
        <v>55526.46064</v>
      </c>
      <c r="I32" s="26">
        <f>I31*3.5%</f>
        <v>128956.10563546667</v>
      </c>
      <c r="J32" s="4">
        <f>J31*3.5%</f>
        <v>55266.90241520003</v>
      </c>
    </row>
    <row r="33" spans="1:10" ht="12.75">
      <c r="A33" s="16" t="s">
        <v>62</v>
      </c>
      <c r="B33" s="17"/>
      <c r="C33" s="17"/>
      <c r="D33" s="17"/>
      <c r="E33" s="17"/>
      <c r="F33" s="9"/>
      <c r="G33" s="26">
        <f>G31+G32</f>
        <v>7089734.216664</v>
      </c>
      <c r="H33" s="26">
        <f>H31+H32</f>
        <v>1641996.7646399997</v>
      </c>
      <c r="I33" s="26">
        <f>I31+I32</f>
        <v>3813416.2666487996</v>
      </c>
      <c r="J33" s="26">
        <f>J31+J32</f>
        <v>1634321.2571352008</v>
      </c>
    </row>
    <row r="34" spans="1:10" ht="12.75">
      <c r="A34" s="16" t="s">
        <v>63</v>
      </c>
      <c r="B34" s="17"/>
      <c r="C34" s="17"/>
      <c r="D34" s="17"/>
      <c r="E34" s="17"/>
      <c r="F34" s="9"/>
      <c r="G34" s="26">
        <v>1402347</v>
      </c>
      <c r="H34" s="26">
        <f>H33*20%</f>
        <v>328399.352928</v>
      </c>
      <c r="I34" s="26">
        <f>(I33*20%)-4570</f>
        <v>758113.2533297599</v>
      </c>
      <c r="J34" s="26">
        <f>(J33*20%)+4570-15600</f>
        <v>315834.2514270402</v>
      </c>
    </row>
    <row r="35" spans="1:10" ht="12.75">
      <c r="A35" s="16" t="s">
        <v>64</v>
      </c>
      <c r="B35" s="17"/>
      <c r="C35" s="17"/>
      <c r="D35" s="17"/>
      <c r="E35" s="17"/>
      <c r="F35" s="9"/>
      <c r="G35" s="26">
        <f>G34/G33*100</f>
        <v>19.779965752508275</v>
      </c>
      <c r="H35" s="4">
        <f>H34/H33*100</f>
        <v>20</v>
      </c>
      <c r="I35" s="4">
        <f>I34/I33*100</f>
        <v>19.88015994896838</v>
      </c>
      <c r="J35" s="4">
        <f>J34/J33*100</f>
        <v>19.325102090433894</v>
      </c>
    </row>
    <row r="36" spans="1:10" ht="12.75">
      <c r="A36" s="16" t="s">
        <v>88</v>
      </c>
      <c r="B36" s="17"/>
      <c r="C36" s="17"/>
      <c r="D36" s="17"/>
      <c r="E36" s="17"/>
      <c r="F36" s="9"/>
      <c r="G36" s="26">
        <f>G33+G34</f>
        <v>8492081.216664001</v>
      </c>
      <c r="H36" s="26">
        <f>H33+H34</f>
        <v>1970396.1175679998</v>
      </c>
      <c r="I36" s="26">
        <f>I33+I34</f>
        <v>4571529.51997856</v>
      </c>
      <c r="J36" s="26">
        <f>J33+J34</f>
        <v>1950155.508562241</v>
      </c>
    </row>
    <row r="37" spans="1:10" ht="12.75">
      <c r="A37" s="16" t="s">
        <v>89</v>
      </c>
      <c r="B37" s="17"/>
      <c r="C37" s="17"/>
      <c r="D37" s="17"/>
      <c r="E37" s="17"/>
      <c r="F37" s="9"/>
      <c r="G37" s="25">
        <f>H37+I37+J37</f>
        <v>6930</v>
      </c>
      <c r="H37" s="2">
        <v>1970</v>
      </c>
      <c r="I37" s="2">
        <v>4570</v>
      </c>
      <c r="J37" s="2">
        <v>390</v>
      </c>
    </row>
    <row r="38" spans="1:10" ht="12.75">
      <c r="A38" s="13" t="s">
        <v>90</v>
      </c>
      <c r="B38" s="14"/>
      <c r="C38" s="14"/>
      <c r="D38" s="14"/>
      <c r="E38" s="14"/>
      <c r="F38" s="15"/>
      <c r="G38" s="26"/>
      <c r="H38" s="4">
        <f>H36/H37</f>
        <v>1000.201074907614</v>
      </c>
      <c r="I38" s="4">
        <f>I36/I37</f>
        <v>1000.334687085024</v>
      </c>
      <c r="J38" s="4">
        <f>J36/J37</f>
        <v>5000.398739903182</v>
      </c>
    </row>
    <row r="39" ht="12.75">
      <c r="G39" s="6"/>
    </row>
    <row r="40" spans="2:8" ht="12.75">
      <c r="B40" t="s">
        <v>65</v>
      </c>
      <c r="H40" t="s">
        <v>66</v>
      </c>
    </row>
    <row r="42" spans="2:8" ht="12.75">
      <c r="B42" t="s">
        <v>73</v>
      </c>
      <c r="H42" t="s">
        <v>74</v>
      </c>
    </row>
    <row r="44" spans="7:8" ht="12.75">
      <c r="G44">
        <v>1000</v>
      </c>
      <c r="H44" t="s">
        <v>71</v>
      </c>
    </row>
    <row r="45" spans="7:8" ht="12.75">
      <c r="G45">
        <v>1000</v>
      </c>
      <c r="H45" t="s">
        <v>72</v>
      </c>
    </row>
    <row r="46" spans="7:8" ht="12.75">
      <c r="G46">
        <v>5000</v>
      </c>
      <c r="H46" t="s">
        <v>70</v>
      </c>
    </row>
  </sheetData>
  <sheetProtection/>
  <mergeCells count="4">
    <mergeCell ref="A11:J11"/>
    <mergeCell ref="A12:J12"/>
    <mergeCell ref="A13:J13"/>
    <mergeCell ref="H16:J16"/>
  </mergeCells>
  <printOptions/>
  <pageMargins left="0.42" right="0.3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L5" sqref="L5"/>
    </sheetView>
  </sheetViews>
  <sheetFormatPr defaultColWidth="9.00390625" defaultRowHeight="12.75"/>
  <sheetData>
    <row r="1" spans="1:9" ht="18">
      <c r="A1" s="29"/>
      <c r="B1" s="29"/>
      <c r="C1" s="29"/>
      <c r="D1" s="29"/>
      <c r="E1" s="29"/>
      <c r="F1" s="29"/>
      <c r="G1" s="29"/>
      <c r="H1" s="29"/>
      <c r="I1" s="29"/>
    </row>
    <row r="2" spans="1:9" ht="18">
      <c r="A2" s="29"/>
      <c r="B2" s="29"/>
      <c r="C2" s="29"/>
      <c r="D2" s="29"/>
      <c r="E2" s="29"/>
      <c r="F2" s="29"/>
      <c r="G2" s="29"/>
      <c r="H2" s="29"/>
      <c r="I2" s="29"/>
    </row>
    <row r="3" spans="1:9" ht="18">
      <c r="A3" s="29"/>
      <c r="B3" s="29" t="s">
        <v>105</v>
      </c>
      <c r="C3" s="29"/>
      <c r="D3" s="29"/>
      <c r="E3" s="29"/>
      <c r="F3" s="29"/>
      <c r="G3" s="29"/>
      <c r="H3" s="29"/>
      <c r="I3" s="29"/>
    </row>
    <row r="4" spans="1:9" ht="18">
      <c r="A4" s="29"/>
      <c r="B4" s="29" t="s">
        <v>102</v>
      </c>
      <c r="C4" s="29"/>
      <c r="D4" s="29"/>
      <c r="E4" s="29"/>
      <c r="F4" s="29"/>
      <c r="G4" s="29"/>
      <c r="H4" s="29"/>
      <c r="I4" s="29"/>
    </row>
    <row r="5" spans="1:9" ht="18">
      <c r="A5" s="29"/>
      <c r="B5" s="29"/>
      <c r="C5" s="29"/>
      <c r="D5" s="29"/>
      <c r="E5" s="29"/>
      <c r="F5" s="29"/>
      <c r="G5" s="29"/>
      <c r="H5" s="29"/>
      <c r="I5" s="29"/>
    </row>
    <row r="6" spans="1:9" ht="18">
      <c r="A6" s="29"/>
      <c r="B6" s="29" t="s">
        <v>106</v>
      </c>
      <c r="C6" s="29"/>
      <c r="D6" s="29"/>
      <c r="E6" s="29"/>
      <c r="F6" s="29"/>
      <c r="G6" s="29"/>
      <c r="H6" s="29"/>
      <c r="I6" s="29"/>
    </row>
    <row r="7" spans="1:9" ht="18">
      <c r="A7" s="29"/>
      <c r="B7" s="29"/>
      <c r="C7" s="29"/>
      <c r="D7" s="29"/>
      <c r="E7" s="29"/>
      <c r="F7" s="29"/>
      <c r="G7" s="29"/>
      <c r="H7" s="29"/>
      <c r="I7" s="29"/>
    </row>
    <row r="8" spans="1:9" ht="18">
      <c r="A8" s="29"/>
      <c r="B8" s="29" t="s">
        <v>107</v>
      </c>
      <c r="C8" s="29"/>
      <c r="D8" s="29"/>
      <c r="E8" s="29"/>
      <c r="F8" s="29"/>
      <c r="G8" s="29"/>
      <c r="H8" s="29"/>
      <c r="I8" s="29"/>
    </row>
    <row r="9" spans="1:9" ht="18">
      <c r="A9" s="29" t="s">
        <v>108</v>
      </c>
      <c r="B9" s="29"/>
      <c r="C9" s="29"/>
      <c r="D9" s="29"/>
      <c r="E9" s="29"/>
      <c r="F9" s="29"/>
      <c r="G9" s="29"/>
      <c r="H9" s="29"/>
      <c r="I9" s="29"/>
    </row>
    <row r="10" spans="1:9" ht="18">
      <c r="A10" s="29" t="s">
        <v>109</v>
      </c>
      <c r="B10" s="29"/>
      <c r="C10" s="29"/>
      <c r="D10" s="29"/>
      <c r="E10" s="29"/>
      <c r="F10" s="29"/>
      <c r="G10" s="29"/>
      <c r="H10" s="29"/>
      <c r="I10" s="29"/>
    </row>
    <row r="11" spans="1:9" ht="18">
      <c r="A11" s="29" t="s">
        <v>110</v>
      </c>
      <c r="B11" s="29"/>
      <c r="C11" s="29"/>
      <c r="D11" s="29"/>
      <c r="E11" s="29"/>
      <c r="F11" s="29"/>
      <c r="G11" s="29"/>
      <c r="H11" s="29"/>
      <c r="I11" s="29"/>
    </row>
    <row r="12" spans="1:9" ht="18">
      <c r="A12" s="29" t="s">
        <v>111</v>
      </c>
      <c r="B12" s="29"/>
      <c r="C12" s="29"/>
      <c r="D12" s="29"/>
      <c r="E12" s="29"/>
      <c r="F12" s="29"/>
      <c r="G12" s="29"/>
      <c r="H12" s="29"/>
      <c r="I12" s="29"/>
    </row>
    <row r="13" spans="1:9" ht="18">
      <c r="A13" s="29" t="s">
        <v>112</v>
      </c>
      <c r="B13" s="29"/>
      <c r="C13" s="29"/>
      <c r="D13" s="29"/>
      <c r="E13" s="29"/>
      <c r="F13" s="29"/>
      <c r="G13" s="29"/>
      <c r="H13" s="29"/>
      <c r="I13" s="29"/>
    </row>
    <row r="14" spans="1:9" ht="18">
      <c r="A14" s="29"/>
      <c r="B14" s="29" t="s">
        <v>113</v>
      </c>
      <c r="C14" s="29"/>
      <c r="D14" s="29"/>
      <c r="E14" s="29"/>
      <c r="F14" s="29"/>
      <c r="G14" s="29"/>
      <c r="H14" s="29"/>
      <c r="I14" s="29"/>
    </row>
    <row r="15" spans="1:9" ht="18">
      <c r="A15" s="29"/>
      <c r="B15" s="29" t="s">
        <v>114</v>
      </c>
      <c r="C15" s="29"/>
      <c r="D15" s="29"/>
      <c r="E15" s="29"/>
      <c r="F15" s="29"/>
      <c r="G15" s="29"/>
      <c r="H15" s="29"/>
      <c r="I15" s="29"/>
    </row>
    <row r="16" spans="1:9" ht="18">
      <c r="A16" s="29" t="s">
        <v>115</v>
      </c>
      <c r="B16" s="29"/>
      <c r="C16" s="29"/>
      <c r="D16" s="29"/>
      <c r="E16" s="29"/>
      <c r="F16" s="29"/>
      <c r="G16" s="29"/>
      <c r="H16" s="29"/>
      <c r="I16" s="29"/>
    </row>
    <row r="17" spans="1:9" ht="18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8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8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8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8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8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8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8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8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8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8">
      <c r="A28" s="29"/>
      <c r="B28" s="29"/>
      <c r="C28" s="29"/>
      <c r="D28" s="29"/>
      <c r="E28" s="29"/>
      <c r="F28" s="29"/>
      <c r="G28" s="29"/>
      <c r="H28" s="29"/>
      <c r="I28" s="29"/>
    </row>
    <row r="29" spans="1:9" ht="18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8">
      <c r="A30" s="29"/>
      <c r="B30" s="29"/>
      <c r="C30" s="29"/>
      <c r="D30" s="29"/>
      <c r="E30" s="29"/>
      <c r="F30" s="29"/>
      <c r="G30" s="29"/>
      <c r="H30" s="29"/>
      <c r="I30" s="29"/>
    </row>
    <row r="31" spans="1:9" ht="18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8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8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8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8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8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8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8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8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8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8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8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8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8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8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8">
      <c r="A46" s="29"/>
      <c r="B46" s="29"/>
      <c r="C46" s="29"/>
      <c r="D46" s="29"/>
      <c r="E46" s="29"/>
      <c r="F46" s="29"/>
      <c r="G46" s="29"/>
      <c r="H46" s="29"/>
      <c r="I46" s="29"/>
    </row>
  </sheetData>
  <sheetProtection/>
  <printOptions/>
  <pageMargins left="0.44" right="0.3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4.375" style="0" customWidth="1"/>
    <col min="2" max="2" width="51.875" style="0" customWidth="1"/>
    <col min="3" max="3" width="5.375" style="0" customWidth="1"/>
    <col min="4" max="4" width="15.375" style="0" customWidth="1"/>
    <col min="5" max="5" width="10.75390625" style="0" customWidth="1"/>
    <col min="6" max="6" width="13.75390625" style="0" customWidth="1"/>
  </cols>
  <sheetData>
    <row r="1" spans="1:6" ht="18">
      <c r="A1" s="29" t="s">
        <v>138</v>
      </c>
      <c r="B1" s="29"/>
      <c r="C1" s="29" t="s">
        <v>154</v>
      </c>
      <c r="D1" s="29"/>
      <c r="E1" s="29"/>
      <c r="F1" s="29"/>
    </row>
    <row r="2" spans="1:6" ht="18">
      <c r="A2" s="29"/>
      <c r="B2" s="29"/>
      <c r="C2" s="29" t="s">
        <v>101</v>
      </c>
      <c r="D2" s="29"/>
      <c r="E2" s="29"/>
      <c r="F2" s="29"/>
    </row>
    <row r="3" spans="1:6" ht="18">
      <c r="A3" s="29"/>
      <c r="B3" s="29"/>
      <c r="C3" s="29" t="s">
        <v>160</v>
      </c>
      <c r="D3" s="29"/>
      <c r="E3" s="29"/>
      <c r="F3" s="29"/>
    </row>
    <row r="4" spans="1:6" ht="18">
      <c r="A4" s="29"/>
      <c r="B4" s="29"/>
      <c r="C4" s="29"/>
      <c r="D4" s="29"/>
      <c r="E4" s="29"/>
      <c r="F4" s="29"/>
    </row>
    <row r="5" spans="1:6" ht="18">
      <c r="A5" s="29"/>
      <c r="B5" s="29" t="s">
        <v>159</v>
      </c>
      <c r="C5" s="29"/>
      <c r="D5" s="29"/>
      <c r="E5" s="29"/>
      <c r="F5" s="29"/>
    </row>
    <row r="6" spans="1:6" ht="18">
      <c r="A6" s="69" t="s">
        <v>156</v>
      </c>
      <c r="B6" s="69"/>
      <c r="C6" s="69"/>
      <c r="D6" s="69"/>
      <c r="E6" s="69"/>
      <c r="F6" s="69"/>
    </row>
    <row r="7" spans="1:6" ht="18">
      <c r="A7" s="31"/>
      <c r="B7" s="32"/>
      <c r="C7" s="33" t="s">
        <v>118</v>
      </c>
      <c r="D7" s="34" t="s">
        <v>120</v>
      </c>
      <c r="E7" s="33"/>
      <c r="F7" s="35" t="s">
        <v>122</v>
      </c>
    </row>
    <row r="8" spans="1:6" ht="18">
      <c r="A8" s="36"/>
      <c r="B8" s="37" t="s">
        <v>139</v>
      </c>
      <c r="C8" s="38"/>
      <c r="D8" s="39" t="s">
        <v>119</v>
      </c>
      <c r="E8" s="38" t="s">
        <v>121</v>
      </c>
      <c r="F8" s="40" t="s">
        <v>121</v>
      </c>
    </row>
    <row r="9" spans="1:6" ht="18">
      <c r="A9" s="41"/>
      <c r="B9" s="37"/>
      <c r="C9" s="38"/>
      <c r="D9" s="39" t="s">
        <v>116</v>
      </c>
      <c r="E9" s="38" t="s">
        <v>130</v>
      </c>
      <c r="F9" s="40" t="s">
        <v>123</v>
      </c>
    </row>
    <row r="10" spans="1:6" ht="18">
      <c r="A10" s="42"/>
      <c r="B10" s="43"/>
      <c r="C10" s="44" t="s">
        <v>117</v>
      </c>
      <c r="D10" s="43" t="s">
        <v>104</v>
      </c>
      <c r="E10" s="44"/>
      <c r="F10" s="45"/>
    </row>
    <row r="11" spans="1:6" ht="18">
      <c r="A11" s="42"/>
      <c r="B11" s="63" t="s">
        <v>151</v>
      </c>
      <c r="C11" s="44"/>
      <c r="D11" s="43"/>
      <c r="E11" s="44"/>
      <c r="F11" s="45"/>
    </row>
    <row r="12" spans="1:6" ht="18">
      <c r="A12" s="42"/>
      <c r="B12" s="63" t="s">
        <v>75</v>
      </c>
      <c r="C12" s="44"/>
      <c r="D12" s="43"/>
      <c r="E12" s="44"/>
      <c r="F12" s="45"/>
    </row>
    <row r="13" spans="1:6" ht="18">
      <c r="A13" s="46">
        <v>1</v>
      </c>
      <c r="B13" s="46" t="s">
        <v>129</v>
      </c>
      <c r="C13" s="46" t="s">
        <v>94</v>
      </c>
      <c r="D13" s="47">
        <v>63</v>
      </c>
      <c r="E13" s="47">
        <f>D13*20%</f>
        <v>12.600000000000001</v>
      </c>
      <c r="F13" s="70">
        <f>D13+E13</f>
        <v>75.6</v>
      </c>
    </row>
    <row r="14" spans="1:6" ht="18">
      <c r="A14" s="46">
        <v>2</v>
      </c>
      <c r="B14" s="46" t="s">
        <v>150</v>
      </c>
      <c r="C14" s="46" t="s">
        <v>94</v>
      </c>
      <c r="D14" s="47">
        <v>81</v>
      </c>
      <c r="E14" s="47">
        <f aca="true" t="shared" si="0" ref="E14:E22">D14*20%</f>
        <v>16.2</v>
      </c>
      <c r="F14" s="70">
        <f aca="true" t="shared" si="1" ref="F14:F22">D14+E14</f>
        <v>97.2</v>
      </c>
    </row>
    <row r="15" spans="1:6" ht="18">
      <c r="A15" s="46">
        <v>3</v>
      </c>
      <c r="B15" s="46" t="s">
        <v>149</v>
      </c>
      <c r="C15" s="46" t="s">
        <v>94</v>
      </c>
      <c r="D15" s="47">
        <v>81</v>
      </c>
      <c r="E15" s="47">
        <f t="shared" si="0"/>
        <v>16.2</v>
      </c>
      <c r="F15" s="70">
        <f t="shared" si="1"/>
        <v>97.2</v>
      </c>
    </row>
    <row r="16" spans="1:6" ht="18">
      <c r="A16" s="46">
        <v>4</v>
      </c>
      <c r="B16" s="46" t="s">
        <v>147</v>
      </c>
      <c r="C16" s="46" t="s">
        <v>94</v>
      </c>
      <c r="D16" s="47">
        <v>35</v>
      </c>
      <c r="E16" s="47">
        <f t="shared" si="0"/>
        <v>7</v>
      </c>
      <c r="F16" s="70">
        <f t="shared" si="1"/>
        <v>42</v>
      </c>
    </row>
    <row r="17" spans="1:6" ht="18">
      <c r="A17" s="46">
        <v>5</v>
      </c>
      <c r="B17" s="64" t="s">
        <v>148</v>
      </c>
      <c r="C17" s="46" t="s">
        <v>94</v>
      </c>
      <c r="D17" s="47">
        <v>31</v>
      </c>
      <c r="E17" s="47">
        <f t="shared" si="0"/>
        <v>6.2</v>
      </c>
      <c r="F17" s="70">
        <f t="shared" si="1"/>
        <v>37.2</v>
      </c>
    </row>
    <row r="18" spans="1:6" ht="18">
      <c r="A18" s="46">
        <v>6</v>
      </c>
      <c r="B18" s="64" t="s">
        <v>158</v>
      </c>
      <c r="C18" s="46" t="s">
        <v>94</v>
      </c>
      <c r="D18" s="47">
        <v>71</v>
      </c>
      <c r="E18" s="47">
        <f t="shared" si="0"/>
        <v>14.200000000000001</v>
      </c>
      <c r="F18" s="70">
        <f t="shared" si="1"/>
        <v>85.2</v>
      </c>
    </row>
    <row r="19" spans="1:6" ht="18">
      <c r="A19" s="46">
        <v>7</v>
      </c>
      <c r="B19" s="46" t="s">
        <v>140</v>
      </c>
      <c r="C19" s="46" t="s">
        <v>94</v>
      </c>
      <c r="D19" s="47">
        <v>28</v>
      </c>
      <c r="E19" s="47">
        <f t="shared" si="0"/>
        <v>5.6000000000000005</v>
      </c>
      <c r="F19" s="70">
        <f t="shared" si="1"/>
        <v>33.6</v>
      </c>
    </row>
    <row r="20" spans="1:6" ht="18">
      <c r="A20" s="46">
        <v>8</v>
      </c>
      <c r="B20" s="46" t="s">
        <v>136</v>
      </c>
      <c r="C20" s="46" t="s">
        <v>94</v>
      </c>
      <c r="D20" s="47">
        <v>59</v>
      </c>
      <c r="E20" s="47">
        <f t="shared" si="0"/>
        <v>11.8</v>
      </c>
      <c r="F20" s="71">
        <f t="shared" si="1"/>
        <v>70.8</v>
      </c>
    </row>
    <row r="21" spans="1:6" ht="18">
      <c r="A21" s="46">
        <v>9</v>
      </c>
      <c r="B21" s="46" t="s">
        <v>137</v>
      </c>
      <c r="C21" s="46" t="s">
        <v>94</v>
      </c>
      <c r="D21" s="47">
        <v>66</v>
      </c>
      <c r="E21" s="47">
        <f t="shared" si="0"/>
        <v>13.200000000000001</v>
      </c>
      <c r="F21" s="71">
        <f t="shared" si="1"/>
        <v>79.2</v>
      </c>
    </row>
    <row r="22" spans="1:6" ht="18">
      <c r="A22" s="46">
        <v>10</v>
      </c>
      <c r="B22" s="46" t="s">
        <v>141</v>
      </c>
      <c r="C22" s="46" t="s">
        <v>94</v>
      </c>
      <c r="D22" s="47">
        <v>50</v>
      </c>
      <c r="E22" s="47">
        <f t="shared" si="0"/>
        <v>10</v>
      </c>
      <c r="F22" s="71">
        <f t="shared" si="1"/>
        <v>60</v>
      </c>
    </row>
    <row r="23" spans="1:6" ht="18">
      <c r="A23" s="31">
        <v>11</v>
      </c>
      <c r="B23" s="51" t="s">
        <v>143</v>
      </c>
      <c r="C23" s="53"/>
      <c r="D23" s="31"/>
      <c r="E23" s="54"/>
      <c r="F23" s="54"/>
    </row>
    <row r="24" spans="1:6" ht="18">
      <c r="A24" s="36"/>
      <c r="B24" s="48" t="s">
        <v>145</v>
      </c>
      <c r="C24" s="55"/>
      <c r="D24" s="36"/>
      <c r="E24" s="56"/>
      <c r="F24" s="56"/>
    </row>
    <row r="25" spans="1:6" ht="18">
      <c r="A25" s="36"/>
      <c r="B25" s="48" t="s">
        <v>144</v>
      </c>
      <c r="C25" s="55"/>
      <c r="D25" s="36"/>
      <c r="E25" s="56"/>
      <c r="F25" s="56"/>
    </row>
    <row r="26" spans="1:6" ht="18">
      <c r="A26" s="36"/>
      <c r="B26" s="48" t="s">
        <v>127</v>
      </c>
      <c r="C26" s="55" t="s">
        <v>124</v>
      </c>
      <c r="D26" s="41">
        <v>4.1</v>
      </c>
      <c r="E26" s="52">
        <f>D26*20%</f>
        <v>0.82</v>
      </c>
      <c r="F26" s="52">
        <f>D26+E26</f>
        <v>4.92</v>
      </c>
    </row>
    <row r="27" spans="1:6" ht="18">
      <c r="A27" s="36"/>
      <c r="B27" s="48" t="s">
        <v>125</v>
      </c>
      <c r="C27" s="55" t="s">
        <v>124</v>
      </c>
      <c r="D27" s="41">
        <v>8.3</v>
      </c>
      <c r="E27" s="52">
        <f>D27*20%</f>
        <v>1.6600000000000001</v>
      </c>
      <c r="F27" s="72">
        <f>D27+E27</f>
        <v>9.96</v>
      </c>
    </row>
    <row r="28" spans="1:6" ht="18">
      <c r="A28" s="42"/>
      <c r="B28" s="48" t="s">
        <v>126</v>
      </c>
      <c r="C28" s="55" t="s">
        <v>124</v>
      </c>
      <c r="D28" s="41">
        <v>10.7</v>
      </c>
      <c r="E28" s="52">
        <f>D28*20%</f>
        <v>2.14</v>
      </c>
      <c r="F28" s="72">
        <f>D28+E28</f>
        <v>12.84</v>
      </c>
    </row>
    <row r="29" spans="1:6" ht="18.75" thickBot="1">
      <c r="A29" s="36"/>
      <c r="B29" s="48" t="s">
        <v>132</v>
      </c>
      <c r="C29" s="55" t="s">
        <v>124</v>
      </c>
      <c r="D29" s="57">
        <v>18.8</v>
      </c>
      <c r="E29" s="52">
        <f>D29*20%</f>
        <v>3.7600000000000002</v>
      </c>
      <c r="F29" s="72">
        <f>D29+E29</f>
        <v>22.560000000000002</v>
      </c>
    </row>
    <row r="30" spans="1:6" ht="18">
      <c r="A30" s="31">
        <v>12</v>
      </c>
      <c r="B30" s="51" t="s">
        <v>128</v>
      </c>
      <c r="C30" s="58"/>
      <c r="D30" s="49"/>
      <c r="E30" s="58"/>
      <c r="F30" s="59"/>
    </row>
    <row r="31" spans="1:6" ht="18">
      <c r="A31" s="36"/>
      <c r="B31" s="48" t="s">
        <v>155</v>
      </c>
      <c r="C31" s="41" t="s">
        <v>124</v>
      </c>
      <c r="D31" s="49">
        <v>2.3</v>
      </c>
      <c r="E31" s="41">
        <f>D31*20%</f>
        <v>0.45999999999999996</v>
      </c>
      <c r="F31" s="72">
        <f>D31+E31</f>
        <v>2.76</v>
      </c>
    </row>
    <row r="32" spans="1:6" ht="18">
      <c r="A32" s="36"/>
      <c r="B32" s="48" t="s">
        <v>146</v>
      </c>
      <c r="C32" s="41"/>
      <c r="D32" s="49"/>
      <c r="E32" s="57"/>
      <c r="F32" s="56"/>
    </row>
    <row r="33" spans="1:6" ht="18">
      <c r="A33" s="31">
        <v>13</v>
      </c>
      <c r="B33" s="51" t="s">
        <v>133</v>
      </c>
      <c r="C33" s="58"/>
      <c r="D33" s="50"/>
      <c r="E33" s="58"/>
      <c r="F33" s="54"/>
    </row>
    <row r="34" spans="1:6" ht="18">
      <c r="A34" s="36"/>
      <c r="B34" s="48" t="s">
        <v>157</v>
      </c>
      <c r="C34" s="41" t="s">
        <v>124</v>
      </c>
      <c r="D34" s="49">
        <v>1.4</v>
      </c>
      <c r="E34" s="41">
        <f>D34*20%</f>
        <v>0.27999999999999997</v>
      </c>
      <c r="F34" s="52">
        <f>D34+E34</f>
        <v>1.68</v>
      </c>
    </row>
    <row r="35" spans="1:6" ht="20.25" customHeight="1">
      <c r="A35" s="42"/>
      <c r="B35" s="63" t="s">
        <v>146</v>
      </c>
      <c r="C35" s="57"/>
      <c r="D35" s="60"/>
      <c r="E35" s="57"/>
      <c r="F35" s="61"/>
    </row>
    <row r="36" spans="1:6" ht="18">
      <c r="A36" s="46">
        <v>14</v>
      </c>
      <c r="B36" s="46" t="s">
        <v>152</v>
      </c>
      <c r="C36" s="46" t="s">
        <v>94</v>
      </c>
      <c r="D36" s="47">
        <v>70</v>
      </c>
      <c r="E36" s="47">
        <f aca="true" t="shared" si="2" ref="E36:E41">D36*20%</f>
        <v>14</v>
      </c>
      <c r="F36" s="71">
        <f aca="true" t="shared" si="3" ref="F36:F41">D36+E36</f>
        <v>84</v>
      </c>
    </row>
    <row r="37" spans="1:6" ht="18">
      <c r="A37" s="46">
        <v>15</v>
      </c>
      <c r="B37" s="62" t="s">
        <v>131</v>
      </c>
      <c r="C37" s="47" t="s">
        <v>94</v>
      </c>
      <c r="D37" s="47">
        <v>15.5</v>
      </c>
      <c r="E37" s="47">
        <f t="shared" si="2"/>
        <v>3.1</v>
      </c>
      <c r="F37" s="71">
        <f t="shared" si="3"/>
        <v>18.6</v>
      </c>
    </row>
    <row r="38" spans="1:6" ht="18">
      <c r="A38" s="46">
        <v>16</v>
      </c>
      <c r="B38" s="62" t="s">
        <v>153</v>
      </c>
      <c r="C38" s="47" t="s">
        <v>94</v>
      </c>
      <c r="D38" s="47">
        <v>2.6</v>
      </c>
      <c r="E38" s="47">
        <f t="shared" si="2"/>
        <v>0.52</v>
      </c>
      <c r="F38" s="71">
        <f t="shared" si="3"/>
        <v>3.12</v>
      </c>
    </row>
    <row r="39" spans="1:6" ht="18">
      <c r="A39" s="46">
        <v>17</v>
      </c>
      <c r="B39" s="62" t="s">
        <v>142</v>
      </c>
      <c r="C39" s="47" t="s">
        <v>94</v>
      </c>
      <c r="D39" s="47">
        <v>4.5</v>
      </c>
      <c r="E39" s="47">
        <f t="shared" si="2"/>
        <v>0.9</v>
      </c>
      <c r="F39" s="71">
        <f t="shared" si="3"/>
        <v>5.4</v>
      </c>
    </row>
    <row r="40" spans="1:6" ht="18">
      <c r="A40" s="46">
        <v>18</v>
      </c>
      <c r="B40" s="62" t="s">
        <v>134</v>
      </c>
      <c r="C40" s="47" t="s">
        <v>124</v>
      </c>
      <c r="D40" s="47">
        <v>3.2</v>
      </c>
      <c r="E40" s="47">
        <f t="shared" si="2"/>
        <v>0.6400000000000001</v>
      </c>
      <c r="F40" s="71">
        <f t="shared" si="3"/>
        <v>3.8400000000000003</v>
      </c>
    </row>
    <row r="41" spans="1:6" ht="18">
      <c r="A41" s="46">
        <v>19</v>
      </c>
      <c r="B41" s="62" t="s">
        <v>135</v>
      </c>
      <c r="C41" s="47" t="s">
        <v>124</v>
      </c>
      <c r="D41" s="47">
        <v>2.2</v>
      </c>
      <c r="E41" s="47">
        <f t="shared" si="2"/>
        <v>0.44000000000000006</v>
      </c>
      <c r="F41" s="71">
        <f t="shared" si="3"/>
        <v>2.64</v>
      </c>
    </row>
    <row r="42" spans="1:6" ht="12.75">
      <c r="A42" s="30"/>
      <c r="B42" s="30"/>
      <c r="C42" s="30"/>
      <c r="D42" s="30"/>
      <c r="E42" s="30"/>
      <c r="F42" s="30"/>
    </row>
    <row r="43" spans="1:6" ht="12.75">
      <c r="A43" s="30"/>
      <c r="B43" s="30"/>
      <c r="C43" s="30"/>
      <c r="D43" s="30"/>
      <c r="E43" s="30"/>
      <c r="F43" s="30"/>
    </row>
  </sheetData>
  <sheetProtection/>
  <mergeCells count="1">
    <mergeCell ref="A6:F6"/>
  </mergeCells>
  <printOptions/>
  <pageMargins left="0.28" right="0.21" top="0.53" bottom="0.5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2015-01-23T10:02:09Z</cp:lastPrinted>
  <dcterms:created xsi:type="dcterms:W3CDTF">2010-06-04T08:42:18Z</dcterms:created>
  <dcterms:modified xsi:type="dcterms:W3CDTF">2018-03-29T04:52:25Z</dcterms:modified>
  <cp:category/>
  <cp:version/>
  <cp:contentType/>
  <cp:contentStatus/>
</cp:coreProperties>
</file>